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315" windowHeight="9240" firstSheet="5" activeTab="6"/>
  </bookViews>
  <sheets>
    <sheet name="120000" sheetId="1" r:id="rId1"/>
    <sheet name="Sheet3" sheetId="2" r:id="rId2"/>
    <sheet name="Sheet2" sheetId="3" r:id="rId3"/>
    <sheet name="100000" sheetId="4" r:id="rId4"/>
    <sheet name="Sheet3 (2)" sheetId="5" r:id="rId5"/>
    <sheet name="ประการรายรับรายจ่าย" sheetId="6" r:id="rId6"/>
    <sheet name="อัตราเกณฑ์การจัดสรร" sheetId="7" r:id="rId7"/>
  </sheets>
  <definedNames/>
  <calcPr fullCalcOnLoad="1"/>
</workbook>
</file>

<file path=xl/sharedStrings.xml><?xml version="1.0" encoding="utf-8"?>
<sst xmlns="http://schemas.openxmlformats.org/spreadsheetml/2006/main" count="450" uniqueCount="169">
  <si>
    <t>อัตราและเกณฑ์การจัดสรรค่าธรรมเนียมการศึกษาระดับบัณฑิตศึกษาภาคปกติ หลักสูตรเภสัชศาสตรมหาบัณฑิต สาขาวิชาเภสัชกรรมคลินิก แผน ก แบบ ก2 ต่อปีการศึกษา (2 ภาคการศึกษา)</t>
  </si>
  <si>
    <t>รายการ</t>
  </si>
  <si>
    <t>หน่วยงาน</t>
  </si>
  <si>
    <t>อัตรา/ปี</t>
  </si>
  <si>
    <t>นศ.ไทย</t>
  </si>
  <si>
    <t>นศ.ต่างชาติ</t>
  </si>
  <si>
    <t>กองทุนเงินรายได้</t>
  </si>
  <si>
    <t>มหาวิทยาลัย</t>
  </si>
  <si>
    <t>คณะ</t>
  </si>
  <si>
    <t>หอสมุด</t>
  </si>
  <si>
    <t>บัณฑิต</t>
  </si>
  <si>
    <t>ส.ทะเบียนฯ</t>
  </si>
  <si>
    <t>ศูนย์เทคโนฯ</t>
  </si>
  <si>
    <t>หน่วยงานอื่น</t>
  </si>
  <si>
    <t>1. ค่าหน่วยกิต</t>
  </si>
  <si>
    <t>2. ค่าบำรุงพิเศษ</t>
  </si>
  <si>
    <t>3. ค่าขึ้นทะเบียนเป็นนักศึกษา (ครั้งเดียว)</t>
  </si>
  <si>
    <t>4. ค่าธรรมเนียมนักศึกษาต่างชาติ</t>
  </si>
  <si>
    <t>5. ค่าบำรุงมหาวิทยาลัย</t>
  </si>
  <si>
    <t>6. ค่าบำรุงห้องสมุด</t>
  </si>
  <si>
    <t>7. ค่าบำรุงสุขภาพ</t>
  </si>
  <si>
    <t>8. ค่าบำรุงกิจกรรมกีฬา</t>
  </si>
  <si>
    <t>9. ค่าบำรุงกิจกรรมเสริมหลักสูตร</t>
  </si>
  <si>
    <t>10. ค่าธรรมเนียมสารสนเทศ</t>
  </si>
  <si>
    <t>11. ค่าธรรมเนียมระบบกายภาพฯ</t>
  </si>
  <si>
    <t>12. ค่าสอบวัดคุณสมบัติ (ป.เอก) ครั้งเดียว</t>
  </si>
  <si>
    <t>13. ค่าสอบประมวลความรู้ (ป.โท) ครั้งเดียว</t>
  </si>
  <si>
    <t>14. ค่าทำบัตรประจำตัว (ครั้งเดียว)</t>
  </si>
  <si>
    <t>15. ค่าประกันอุบัติเหตุ/ปี</t>
  </si>
  <si>
    <t>16. ค่าบริหารจัดการ</t>
  </si>
  <si>
    <t>รวม</t>
  </si>
  <si>
    <t>17. ค่ารักษาสถานภาพ</t>
  </si>
  <si>
    <t>-</t>
  </si>
  <si>
    <t>ประมาณการรายรับ - รายจ่ายตลอดหลักสูตร (4 ภาคการศึกษา)</t>
  </si>
  <si>
    <t>หลักสูตรเภสัชศาสตรมหาบัณฑิต สาขาวิชาเภสัชกรรมคลินิก แผน ก แบบ ก2</t>
  </si>
  <si>
    <t>จำนวนเงิน</t>
  </si>
  <si>
    <t>หมายเหตุ</t>
  </si>
  <si>
    <t>1. ประมาณการรายรับ</t>
  </si>
  <si>
    <t>นศ. 5 คน</t>
  </si>
  <si>
    <t>นศ. 10 คน</t>
  </si>
  <si>
    <t>นศ. 15 คน</t>
  </si>
  <si>
    <t>รวมรายรับทั้งหมด</t>
  </si>
  <si>
    <t>2. ประมาณการรายจ่าย</t>
  </si>
  <si>
    <t>2.1 จัดสรรให้หน่วยงานที่เกี่ยวข้อง</t>
  </si>
  <si>
    <t>2.1.1 กองทุนเงินรายได้</t>
  </si>
  <si>
    <t>2.1.2 มหาวิทยาลัยเชียงใหม่</t>
  </si>
  <si>
    <t>2.1.3 คณะ</t>
  </si>
  <si>
    <t>2.1.4 สำนักหอสมุด</t>
  </si>
  <si>
    <t>2.1.5 บัณฑิตวิทยาลัย</t>
  </si>
  <si>
    <t>2.1.6 สำนักทะเบียนและประมวลผล</t>
  </si>
  <si>
    <t>2.1.7 ศูนย์เทคโนโลยีสารสนเทศ</t>
  </si>
  <si>
    <t>2.1.8 ค่าบำรุงสุขภาพ</t>
  </si>
  <si>
    <t>2.1.9 ค่าบำรุงกิจกรรมกีฬา</t>
  </si>
  <si>
    <t>2.1.10 ค่าบำรุงกิจกรรมเสริมหลักสูตร</t>
  </si>
  <si>
    <t>2.1.11 ค่าบัตรประจำตัวนักศึกษา</t>
  </si>
  <si>
    <t>2.1.12 ค่าประกันอุบัติเหตุ</t>
  </si>
  <si>
    <t>รวมรายจ่ายทั้งสิ้น</t>
  </si>
  <si>
    <t>รายได้ในส่วนของคณะ นำไปเป็นค่าใช้จ่ายเพื่อการเรียนการสอนของคณะตลอดหลักสูตร</t>
  </si>
  <si>
    <t>1. หมวดค่าตอบแทน</t>
  </si>
  <si>
    <t>1.1 ค่าตอบแทนอาจารย์/คณะกรรมการสอบวิทยานิพนธ์</t>
  </si>
  <si>
    <t>1.2 ค่าตอบแทนอาจารย์/คณะกรรมการที่ปรึกษาวิทยานิพนธ์</t>
  </si>
  <si>
    <t>ประธาน 600 บาท/ผู้ทรงคุณวุฒิ 420 บาท</t>
  </si>
  <si>
    <t>กรรมการ 2 คน @ 300 บาทต่อ นศ. 1 คน</t>
  </si>
  <si>
    <t>ประธาน 1200 บาท/กรรมการภายนอก</t>
  </si>
  <si>
    <t>900 บาท/กรรมการ 2 คน @ 600 บาทต่อ</t>
  </si>
  <si>
    <t>นศ. 1 คน</t>
  </si>
  <si>
    <t>1.3 ค่าตอบแทนคณะกรรมการสอบวิทยานิพนธ์แก้ตัว</t>
  </si>
  <si>
    <t>2. หมวดค่าใช้สอย</t>
  </si>
  <si>
    <t>2.1 ค่าใช้สอย เช่น ค่าอาหารว่าง /  ค่าเลี้ยงรับรอง / น้ำดื่ม ฯลฯ</t>
  </si>
  <si>
    <t>2.2 ค่าเช่าสถานที่</t>
  </si>
  <si>
    <t>2.3 ค่าที่พัก (อาจารย์พิเศษ / ผู้ทรงคุณวุฒิในการสอบวิทยานิพนธ์)</t>
  </si>
  <si>
    <t>2.4 ค่าเดินทาง / ค่าเลี้ยงรับรอง (อาจารย์พิเศษ / ผู้ทรงคุณวุฒิสอบวิทยานิพนธ์)</t>
  </si>
  <si>
    <t>2.5 ค่าเลี้ยงรับรอง (อาจารย์พิเศษ / ผู้ทรงคุณวุฒิสอบวิทยานิพนธ์)</t>
  </si>
  <si>
    <t>3. หมวดค่าวัสดุ</t>
  </si>
  <si>
    <t>3.1 ค่าวัสดุอุปกรณ์สำนักงาน / ห้องปฏิบัติการ</t>
  </si>
  <si>
    <t>3.2 ค่าหนังสือและสื่อการสอน</t>
  </si>
  <si>
    <t>3.3 ค่าซ่อมแซมวัสดุสำนักงาน / ครุภัณฑ์ / อาคารสถานที่</t>
  </si>
  <si>
    <t>3.4 ค่าใช้จ่ายในการประชาสัมพันธ์หลักสูตร</t>
  </si>
  <si>
    <t>4. หมวดค่าสาธารณูปโภค</t>
  </si>
  <si>
    <t>4.1 ค่าน้ำมันเชื้อเพลิง</t>
  </si>
  <si>
    <t>4.2 ค่าน้ำ / ค่าไฟฟ้า / ค่าโทรศัพท์</t>
  </si>
  <si>
    <t>5. หมวดครุภัณฑ์ ที่ดิน และสิ่งก่อสร้าง</t>
  </si>
  <si>
    <t>5.1 ค่าปรับปรุงซ่อมแซมห้องเรียน/Lab</t>
  </si>
  <si>
    <t>6. หมวดเงินอุดหนุน</t>
  </si>
  <si>
    <t>6.1 โครงการพัฒนาอาจารย์</t>
  </si>
  <si>
    <t>6.2 สนับสนุนโครงการวิจัยอาจารย์ เพื่อการพัฒนาหลักสูตร</t>
  </si>
  <si>
    <t>6.3 โครงการทัศนศึกษา/ดูงานในประเทศ + ต่างประเทศ</t>
  </si>
  <si>
    <t>6.4 สนับสนุนการพัฒนานักศึกษา</t>
  </si>
  <si>
    <t>6.5 สนับสนุนเงินอุดหนุนการทำวิทยานิพนธ์</t>
  </si>
  <si>
    <t>6.6 โครงการปรับความรู้พื้นฐาน / พัฒนาศักยภาพนักศึกษา</t>
  </si>
  <si>
    <t>เฉลี่ยค่าใช้จ่ายต่อนักศึกษา 1 คน / ภาคการศึกษา</t>
  </si>
  <si>
    <t>1 คืน @ 1,000 บาท</t>
  </si>
  <si>
    <t>เครื่องบิน 6,500.- ค่า taxi 600.-(7,100.-)</t>
  </si>
  <si>
    <t xml:space="preserve"> @ 2,500 บาท</t>
  </si>
  <si>
    <t>เหมาจ่าย 4 เทอม @ 5,000 บาท</t>
  </si>
  <si>
    <t>รวมจ่ายทั้งสิ้น</t>
  </si>
  <si>
    <t>เหมาจ่าย 4 เทอม @ 50,000 บาท</t>
  </si>
  <si>
    <t>เหมาจ่าย 4 เทอม @ 30,000 บาท</t>
  </si>
  <si>
    <t>เหมาจ่าย 4 เทอม @ 25,000 บาท</t>
  </si>
  <si>
    <t>เหมาจ่าย 4 เทอม @ 20,000 บาท</t>
  </si>
  <si>
    <t>เหมาจ่าย 4 เทอม @ 12,000 บาท</t>
  </si>
  <si>
    <t>ประมาณการค่าใช้จ่ายทั้งหมด (4 ภาคการศึกษา)</t>
  </si>
  <si>
    <t>รายรับมากกว่าค่าใช้จ่าย</t>
  </si>
  <si>
    <t>เพื่อการพัฒนาคณะ</t>
  </si>
  <si>
    <t xml:space="preserve">    1.1 ค่าธรรมเนียมการศึกษาแบบเหมาจ่าย (4 ภาคการศึกษา @ 30,000 บาท)</t>
  </si>
  <si>
    <t>869,400/4 ภาคการศึกษา/นศ.10 คน</t>
  </si>
  <si>
    <t>นักศึกษา 10 คน</t>
  </si>
  <si>
    <t>4 ภาคการศึกษา @ 1,882.50 บาท/นศ. 10 คน</t>
  </si>
  <si>
    <t>4 ภาคการศึกษา @ 1,950 บาท/นศ. 10 คน</t>
  </si>
  <si>
    <t>4 ภาคการศึกษา @ 22,442.50 บาท/นศ. 10 คน</t>
  </si>
  <si>
    <t>4 ภาคการศึกษา @ 100 บาท/นศ. 10 คน</t>
  </si>
  <si>
    <t>4 ภาคการศึกษา @ 300 บาท/นศ. 10 คน</t>
  </si>
  <si>
    <t>2 ปีการศึกษา @ 50 บาท/นศ. 10 คน</t>
  </si>
  <si>
    <t>2 ปีการศึกษา @ 100 บาท/นศ. 10 คน</t>
  </si>
  <si>
    <t>4 ภาคการศึกษา @ 550 บาท/นศ. 10 คน</t>
  </si>
  <si>
    <t>4 ภาคการศึกษา @ 1,000 บาท/นศ. 10 คน</t>
  </si>
  <si>
    <t>4 ภาคการศึกษา @ 275 บาท/นศ. 10 คน</t>
  </si>
  <si>
    <t>4 ภาคการศึกษา @ 1,125 บาท/นศ. 10 คน</t>
  </si>
  <si>
    <t xml:space="preserve">    1.1 ค่าธรรมเนียมการศึกษาแบบเหมาจ่าย (4 ภาคการศึกษา @ 25,000 บาท)</t>
  </si>
  <si>
    <t>955,100/4 ภาคการศึกษา/นศ.15 คน</t>
  </si>
  <si>
    <t>4. ค่าบำรุงมหาวิทยาลัย</t>
  </si>
  <si>
    <t>5. ค่าบำรุงห้องสมุด</t>
  </si>
  <si>
    <t>6. ค่าบำรุงสุขภาพ</t>
  </si>
  <si>
    <t>7. ค่าบำรุงกิจกรรมกีฬา</t>
  </si>
  <si>
    <t>8. ค่าบำรุงกิจกรรมเสริมหลักสูตร</t>
  </si>
  <si>
    <t>9. ค่าธรรมเนียมสารสนเทศ</t>
  </si>
  <si>
    <t>10. ค่าธรรมเนียมระบบกายภาพฯ</t>
  </si>
  <si>
    <t>11. ค่าทำบัตรประจำตัว (ครั้งเดียว)</t>
  </si>
  <si>
    <t>13. ค่าบริหารจัดการ</t>
  </si>
  <si>
    <t>เครื่องบิน 6,500.- ค่า taxi 1,000.-(7,500.-)</t>
  </si>
  <si>
    <t>สมทบมหาวิทยาลัย</t>
  </si>
  <si>
    <t>สำนักงานมหาวิทยาลัย</t>
  </si>
  <si>
    <t xml:space="preserve">    1.1 ค่าธรรมเนียมการศึกษาแบบเหมาจ่าย (4 ภาคการศึกษา x 25,000 บาท)</t>
  </si>
  <si>
    <t>2.1 ค่าที่พัก (อาจารย์พิเศษ / ผู้ทรงคุณวุฒิในการสอบวิทยานิพนธ์)</t>
  </si>
  <si>
    <t>2.2 ค่าเดินทาง / ค่าเลี้ยงรับรอง (อาจารย์พิเศษ / ผู้ทรงคุณวุฒิสอบวิทยานิพนธ์)</t>
  </si>
  <si>
    <t>2.3 ค่าเลี้ยงรับรอง (อาจารย์พิเศษ / ผู้ทรงคุณวุฒิสอบวิทยานิพนธ์)</t>
  </si>
  <si>
    <t>3.2 ค่าซ่อมแซมวัสดุสำนักงาน / ครุภัณฑ์ / อาคารสถานที่</t>
  </si>
  <si>
    <t>3.3 ค่าใช้จ่ายในการประชาสัมพันธ์หลักสูตร</t>
  </si>
  <si>
    <t>4.1 ค่าน้ำ / ค่าไฟฟ้า / ค่าโทรศัพท์</t>
  </si>
  <si>
    <t>5. หมวดเงินอุดหนุน</t>
  </si>
  <si>
    <t>5.1 โครงการพัฒนาอาจารย์</t>
  </si>
  <si>
    <t>5.2 สนับสนุนโครงการวิจัยอาจารย์ เพื่อการพัฒนาหลักสูตร</t>
  </si>
  <si>
    <t xml:space="preserve"> @ 2,000 บาท</t>
  </si>
  <si>
    <t xml:space="preserve">      ประธานกรรมการ (ไม่เกิน 50 บาท/หน่วยกิต) 50 * 12</t>
  </si>
  <si>
    <t xml:space="preserve">      กรรมการผู้ทรงคุณวุฒิภายนอกมหาวิทยาลัย (ไม่เกิน 35 บาท/หน่วยกิต) 35 * 12</t>
  </si>
  <si>
    <t xml:space="preserve">      กรรมการคนละ (ไม่เกิน 25 บาท/หน่วยกิต) 2 คน 25 * 12 * 2</t>
  </si>
  <si>
    <t xml:space="preserve">      ประธานกรรมการ (ไม่เกิน 100 บาท/หน่วยกิต) 100 * 12</t>
  </si>
  <si>
    <t xml:space="preserve">      กรรมการที่ปรึกษาภายนอกมหาวิทยาลัย (ไม่เกิน 75 บาท/หน่วยกิต) 75 * 12</t>
  </si>
  <si>
    <t xml:space="preserve">      กรรมการคนละ (ไม่เกิน 50 บาท/หน่วยกิต) 2 คน 50 * 12 * 2</t>
  </si>
  <si>
    <t>5.3 สนับสนุนการพัฒนานักศึกษา</t>
  </si>
  <si>
    <t>5.4 สนับสนุนเงินอุดหนุนการทำวิทยานิพนธ์</t>
  </si>
  <si>
    <t>5,000 บาท/คน</t>
  </si>
  <si>
    <t>10,000 บาท/คน</t>
  </si>
  <si>
    <t>12,000 บาท/คน</t>
  </si>
  <si>
    <t>3,000 บาท/คน</t>
  </si>
  <si>
    <t>2.1.1 สมทบมหาวิทยาลัย</t>
  </si>
  <si>
    <t>2.1.2 สำนักงานมหาวิทยาลัย</t>
  </si>
  <si>
    <t>348,100/4 ภาคการศึกษา/นศ.5 คน</t>
  </si>
  <si>
    <t>1 คน:คืน @ 1,200 บาท</t>
  </si>
  <si>
    <t>อัตราและเกณฑ์การจัดสรรค่าธรรมเนียมการศึกษาระดับบัณฑิตศึกษาภาคปกติ หลักสูตรเภสัชศาสตรมหาบัณฑิต สาขาวิชาเภสัชกรรมคลินิก แผน ก แบบ ก2 ตลอดหลักสูตร (4 ภาคการศึกษา)</t>
  </si>
  <si>
    <t>4. ค่าธรรมเนียมนักศึกษาต่าชาติ</t>
  </si>
  <si>
    <t xml:space="preserve"> (80,000)</t>
  </si>
  <si>
    <t xml:space="preserve">      ภาคการศึกษาปกติ</t>
  </si>
  <si>
    <t xml:space="preserve">  </t>
  </si>
  <si>
    <t xml:space="preserve">      ภาคฤดูร้อน</t>
  </si>
  <si>
    <t>14. ค่าธรรมเนียมการใช้บริการมหาวิทยาลัย</t>
  </si>
  <si>
    <t>12. ค่าประกันอุบัติเหตุ (100 บาทต่อปี)</t>
  </si>
  <si>
    <r>
      <t xml:space="preserve">                                                                                                                                           </t>
    </r>
    <r>
      <rPr>
        <b/>
        <sz val="20"/>
        <color indexed="10"/>
        <rFont val="Angsana New"/>
        <family val="1"/>
      </rPr>
      <t xml:space="preserve">- ตัวอย่าง -     </t>
    </r>
    <r>
      <rPr>
        <sz val="14"/>
        <rFont val="Angsana New"/>
        <family val="1"/>
      </rPr>
      <t xml:space="preserve">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</si>
  <si>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</t>
    </r>
    <r>
      <rPr>
        <b/>
        <sz val="20"/>
        <color indexed="10"/>
        <rFont val="Angsana New"/>
        <family val="1"/>
      </rPr>
      <t xml:space="preserve">- ตัวอย่าง -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</si>
</sst>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_-* #,##0.0_-;\-* #,##0.0_-;_-* &quot;-&quot;?_-;_-@_-"/>
    <numFmt numFmtId="192" formatCode="_-* #,##0_-;\-* #,##0_-;_-* &quot;-&quot;?_-;_-@_-"/>
    <numFmt numFmtId="193" formatCode="_-* #,##0.0000_-;\-* #,##0.0000_-;_-* &quot;-&quot;????_-;_-@_-"/>
  </numFmts>
  <fonts count="8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12"/>
      <name val="Angsana New"/>
      <family val="1"/>
    </font>
    <font>
      <b/>
      <sz val="20"/>
      <color indexed="10"/>
      <name val="Angsana New"/>
      <family val="1"/>
    </font>
    <font>
      <sz val="20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90" fontId="1" fillId="0" borderId="1" xfId="15" applyNumberFormat="1" applyFont="1" applyBorder="1" applyAlignment="1">
      <alignment horizontal="center"/>
    </xf>
    <xf numFmtId="190" fontId="2" fillId="0" borderId="1" xfId="15" applyNumberFormat="1" applyFont="1" applyBorder="1" applyAlignment="1">
      <alignment horizontal="center"/>
    </xf>
    <xf numFmtId="190" fontId="1" fillId="0" borderId="1" xfId="0" applyNumberFormat="1" applyFont="1" applyBorder="1" applyAlignment="1">
      <alignment horizontal="center"/>
    </xf>
    <xf numFmtId="190" fontId="2" fillId="0" borderId="1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192" fontId="2" fillId="0" borderId="1" xfId="0" applyNumberFormat="1" applyFont="1" applyBorder="1" applyAlignment="1">
      <alignment horizontal="center"/>
    </xf>
    <xf numFmtId="192" fontId="1" fillId="0" borderId="0" xfId="0" applyNumberFormat="1" applyFont="1" applyAlignment="1">
      <alignment/>
    </xf>
    <xf numFmtId="190" fontId="1" fillId="0" borderId="1" xfId="15" applyNumberFormat="1" applyFont="1" applyBorder="1" applyAlignment="1">
      <alignment/>
    </xf>
    <xf numFmtId="190" fontId="2" fillId="0" borderId="1" xfId="15" applyNumberFormat="1" applyFont="1" applyBorder="1" applyAlignment="1">
      <alignment/>
    </xf>
    <xf numFmtId="0" fontId="2" fillId="2" borderId="1" xfId="0" applyFont="1" applyFill="1" applyBorder="1" applyAlignment="1">
      <alignment horizontal="center"/>
    </xf>
    <xf numFmtId="190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90" fontId="1" fillId="0" borderId="2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190" fontId="2" fillId="0" borderId="3" xfId="15" applyNumberFormat="1" applyFont="1" applyBorder="1" applyAlignment="1">
      <alignment/>
    </xf>
    <xf numFmtId="190" fontId="1" fillId="0" borderId="4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90" fontId="1" fillId="0" borderId="2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9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90" fontId="2" fillId="0" borderId="4" xfId="15" applyNumberFormat="1" applyFont="1" applyBorder="1" applyAlignment="1">
      <alignment/>
    </xf>
    <xf numFmtId="190" fontId="2" fillId="0" borderId="5" xfId="15" applyNumberFormat="1" applyFont="1" applyBorder="1" applyAlignment="1">
      <alignment horizontal="center"/>
    </xf>
    <xf numFmtId="190" fontId="2" fillId="0" borderId="6" xfId="15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90" fontId="1" fillId="0" borderId="5" xfId="15" applyNumberFormat="1" applyFont="1" applyBorder="1" applyAlignment="1">
      <alignment horizontal="center"/>
    </xf>
    <xf numFmtId="190" fontId="1" fillId="0" borderId="6" xfId="15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5" xfId="15" applyNumberFormat="1" applyFont="1" applyBorder="1" applyAlignment="1">
      <alignment horizontal="right"/>
    </xf>
    <xf numFmtId="49" fontId="1" fillId="0" borderId="6" xfId="15" applyNumberFormat="1" applyFont="1" applyBorder="1" applyAlignment="1">
      <alignment horizontal="right"/>
    </xf>
    <xf numFmtId="190" fontId="2" fillId="0" borderId="5" xfId="15" applyNumberFormat="1" applyFont="1" applyBorder="1" applyAlignment="1">
      <alignment horizontal="center"/>
    </xf>
    <xf numFmtId="190" fontId="2" fillId="0" borderId="6" xfId="15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B7">
      <selection activeCell="G7" sqref="G7"/>
    </sheetView>
  </sheetViews>
  <sheetFormatPr defaultColWidth="9.140625" defaultRowHeight="12.75"/>
  <cols>
    <col min="1" max="1" width="32.7109375" style="1" customWidth="1"/>
    <col min="2" max="2" width="7.7109375" style="1" customWidth="1"/>
    <col min="3" max="3" width="9.57421875" style="1" bestFit="1" customWidth="1"/>
    <col min="4" max="4" width="13.7109375" style="1" bestFit="1" customWidth="1"/>
    <col min="5" max="5" width="9.8515625" style="1" bestFit="1" customWidth="1"/>
    <col min="6" max="8" width="9.140625" style="1" customWidth="1"/>
    <col min="9" max="9" width="9.7109375" style="1" bestFit="1" customWidth="1"/>
    <col min="10" max="10" width="10.140625" style="1" bestFit="1" customWidth="1"/>
    <col min="11" max="11" width="10.8515625" style="1" bestFit="1" customWidth="1"/>
    <col min="12" max="16384" width="9.140625" style="1" customWidth="1"/>
  </cols>
  <sheetData>
    <row r="1" spans="1:15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  <c r="M1" s="2"/>
      <c r="N1" s="2"/>
      <c r="O1" s="2"/>
    </row>
    <row r="2" spans="1:11" ht="21">
      <c r="A2" s="3" t="s">
        <v>1</v>
      </c>
      <c r="B2" s="39" t="s">
        <v>3</v>
      </c>
      <c r="C2" s="39"/>
      <c r="D2" s="39" t="s">
        <v>2</v>
      </c>
      <c r="E2" s="39"/>
      <c r="F2" s="39"/>
      <c r="G2" s="39"/>
      <c r="H2" s="39"/>
      <c r="I2" s="39"/>
      <c r="J2" s="39"/>
      <c r="K2" s="39"/>
    </row>
    <row r="3" spans="1:11" ht="21">
      <c r="A3" s="4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21">
      <c r="A4" s="5" t="s">
        <v>14</v>
      </c>
      <c r="B4" s="7">
        <f>B20-SUM(B5:B6,B8:B14,B17:B19)</f>
        <v>27650</v>
      </c>
      <c r="C4" s="6"/>
      <c r="D4" s="11">
        <f>B4*0.1</f>
        <v>2765</v>
      </c>
      <c r="E4" s="6"/>
      <c r="F4" s="11">
        <f>B4*0.9</f>
        <v>24885</v>
      </c>
      <c r="G4" s="6"/>
      <c r="H4" s="6"/>
      <c r="I4" s="6"/>
      <c r="J4" s="6"/>
      <c r="K4" s="6"/>
    </row>
    <row r="5" spans="1:11" ht="21">
      <c r="A5" s="5" t="s">
        <v>15</v>
      </c>
      <c r="B5" s="7">
        <v>10000</v>
      </c>
      <c r="C5" s="6"/>
      <c r="D5" s="11">
        <f>B5*0.1</f>
        <v>1000</v>
      </c>
      <c r="E5" s="6"/>
      <c r="F5" s="11">
        <f>B5*0.9</f>
        <v>9000</v>
      </c>
      <c r="G5" s="6"/>
      <c r="H5" s="6"/>
      <c r="I5" s="6"/>
      <c r="J5" s="6"/>
      <c r="K5" s="6"/>
    </row>
    <row r="6" spans="1:11" ht="21">
      <c r="A6" s="5" t="s">
        <v>16</v>
      </c>
      <c r="B6" s="7">
        <v>1000</v>
      </c>
      <c r="C6" s="6"/>
      <c r="D6" s="6"/>
      <c r="E6" s="11">
        <f>B6*0.4</f>
        <v>400</v>
      </c>
      <c r="F6" s="11"/>
      <c r="G6" s="11"/>
      <c r="H6" s="11">
        <f>B6*0.3</f>
        <v>300</v>
      </c>
      <c r="I6" s="11">
        <f>B6*0.3</f>
        <v>300</v>
      </c>
      <c r="J6" s="6"/>
      <c r="K6" s="6"/>
    </row>
    <row r="7" spans="1:11" ht="21">
      <c r="A7" s="5" t="s">
        <v>17</v>
      </c>
      <c r="B7" s="7" t="s">
        <v>32</v>
      </c>
      <c r="C7" s="6"/>
      <c r="D7" s="6"/>
      <c r="E7" s="6"/>
      <c r="F7" s="6"/>
      <c r="G7" s="6"/>
      <c r="H7" s="6"/>
      <c r="I7" s="6"/>
      <c r="J7" s="6"/>
      <c r="K7" s="6"/>
    </row>
    <row r="8" spans="1:12" ht="21">
      <c r="A8" s="5" t="s">
        <v>18</v>
      </c>
      <c r="B8" s="7">
        <v>3000</v>
      </c>
      <c r="C8" s="6"/>
      <c r="D8" s="6"/>
      <c r="E8" s="11">
        <f>B8*0.5</f>
        <v>1500</v>
      </c>
      <c r="F8" s="11"/>
      <c r="G8" s="11">
        <v>500</v>
      </c>
      <c r="H8" s="11">
        <v>500</v>
      </c>
      <c r="I8" s="11">
        <v>250</v>
      </c>
      <c r="J8" s="11">
        <v>250</v>
      </c>
      <c r="K8" s="6"/>
      <c r="L8" s="13"/>
    </row>
    <row r="9" spans="1:11" ht="21">
      <c r="A9" s="5" t="s">
        <v>19</v>
      </c>
      <c r="B9" s="7">
        <v>2000</v>
      </c>
      <c r="C9" s="6"/>
      <c r="D9" s="6"/>
      <c r="E9" s="6"/>
      <c r="F9" s="11">
        <f>B9*0.7</f>
        <v>1400</v>
      </c>
      <c r="G9" s="11">
        <f>B9*0.3</f>
        <v>600</v>
      </c>
      <c r="H9" s="6"/>
      <c r="I9" s="6"/>
      <c r="J9" s="6"/>
      <c r="K9" s="6"/>
    </row>
    <row r="10" spans="1:11" ht="21">
      <c r="A10" s="5" t="s">
        <v>20</v>
      </c>
      <c r="B10" s="7">
        <v>200</v>
      </c>
      <c r="C10" s="6"/>
      <c r="D10" s="6"/>
      <c r="E10" s="6"/>
      <c r="F10" s="6"/>
      <c r="G10" s="6"/>
      <c r="H10" s="6"/>
      <c r="I10" s="6"/>
      <c r="J10" s="6"/>
      <c r="K10" s="9">
        <f>B10</f>
        <v>200</v>
      </c>
    </row>
    <row r="11" spans="1:11" ht="21">
      <c r="A11" s="5" t="s">
        <v>21</v>
      </c>
      <c r="B11" s="7">
        <v>600</v>
      </c>
      <c r="C11" s="6"/>
      <c r="D11" s="6"/>
      <c r="E11" s="6"/>
      <c r="F11" s="6"/>
      <c r="G11" s="6"/>
      <c r="H11" s="6"/>
      <c r="I11" s="6"/>
      <c r="J11" s="6"/>
      <c r="K11" s="9">
        <f>B11</f>
        <v>600</v>
      </c>
    </row>
    <row r="12" spans="1:11" ht="21">
      <c r="A12" s="5" t="s">
        <v>22</v>
      </c>
      <c r="B12" s="7">
        <v>600</v>
      </c>
      <c r="C12" s="6"/>
      <c r="D12" s="6"/>
      <c r="E12" s="6"/>
      <c r="F12" s="6"/>
      <c r="G12" s="6"/>
      <c r="H12" s="6"/>
      <c r="I12" s="6"/>
      <c r="J12" s="6"/>
      <c r="K12" s="9">
        <f>B12</f>
        <v>600</v>
      </c>
    </row>
    <row r="13" spans="1:11" ht="21">
      <c r="A13" s="5" t="s">
        <v>23</v>
      </c>
      <c r="B13" s="7">
        <v>2000</v>
      </c>
      <c r="C13" s="6"/>
      <c r="D13" s="6"/>
      <c r="E13" s="6"/>
      <c r="F13" s="6"/>
      <c r="G13" s="6"/>
      <c r="H13" s="6"/>
      <c r="I13" s="6"/>
      <c r="J13" s="9">
        <f>B13</f>
        <v>2000</v>
      </c>
      <c r="K13" s="6"/>
    </row>
    <row r="14" spans="1:11" ht="21">
      <c r="A14" s="5" t="s">
        <v>24</v>
      </c>
      <c r="B14" s="7">
        <v>800</v>
      </c>
      <c r="C14" s="6"/>
      <c r="D14" s="6"/>
      <c r="E14" s="9">
        <f>B14</f>
        <v>800</v>
      </c>
      <c r="F14" s="6"/>
      <c r="G14" s="6"/>
      <c r="H14" s="6"/>
      <c r="I14" s="6"/>
      <c r="J14" s="6"/>
      <c r="K14" s="6"/>
    </row>
    <row r="15" spans="1:11" ht="21">
      <c r="A15" s="5" t="s">
        <v>25</v>
      </c>
      <c r="B15" s="7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21">
      <c r="A16" s="5" t="s">
        <v>26</v>
      </c>
      <c r="B16" s="7">
        <v>0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1">
      <c r="A17" s="5" t="s">
        <v>27</v>
      </c>
      <c r="B17" s="7">
        <v>50</v>
      </c>
      <c r="C17" s="6"/>
      <c r="D17" s="6"/>
      <c r="E17" s="6"/>
      <c r="F17" s="6"/>
      <c r="G17" s="6"/>
      <c r="H17" s="6"/>
      <c r="I17" s="6"/>
      <c r="J17" s="6"/>
      <c r="K17" s="9">
        <f>B17</f>
        <v>50</v>
      </c>
    </row>
    <row r="18" spans="1:11" ht="21">
      <c r="A18" s="5" t="s">
        <v>28</v>
      </c>
      <c r="B18" s="7">
        <v>100</v>
      </c>
      <c r="C18" s="6"/>
      <c r="D18" s="6"/>
      <c r="E18" s="6"/>
      <c r="F18" s="6"/>
      <c r="G18" s="6"/>
      <c r="H18" s="6"/>
      <c r="I18" s="6"/>
      <c r="J18" s="6"/>
      <c r="K18" s="9">
        <f>B18</f>
        <v>100</v>
      </c>
    </row>
    <row r="19" spans="1:11" ht="21">
      <c r="A19" s="5" t="s">
        <v>29</v>
      </c>
      <c r="B19" s="7">
        <f>B20*0.2</f>
        <v>12000</v>
      </c>
      <c r="C19" s="9"/>
      <c r="D19" s="6"/>
      <c r="E19" s="11">
        <f>B19*0.1</f>
        <v>1200</v>
      </c>
      <c r="F19" s="11">
        <f>B19*0.8</f>
        <v>9600</v>
      </c>
      <c r="G19" s="11"/>
      <c r="H19" s="11">
        <f>B19*0.1</f>
        <v>1200</v>
      </c>
      <c r="I19" s="6"/>
      <c r="J19" s="6"/>
      <c r="K19" s="6"/>
    </row>
    <row r="20" spans="1:12" ht="21">
      <c r="A20" s="3" t="s">
        <v>30</v>
      </c>
      <c r="B20" s="8">
        <v>60000</v>
      </c>
      <c r="C20" s="10"/>
      <c r="D20" s="12">
        <f>SUM(D4:D19)</f>
        <v>3765</v>
      </c>
      <c r="E20" s="12">
        <f aca="true" t="shared" si="0" ref="E20:K20">SUM(E4:E19)</f>
        <v>3900</v>
      </c>
      <c r="F20" s="12">
        <f t="shared" si="0"/>
        <v>44885</v>
      </c>
      <c r="G20" s="12">
        <f t="shared" si="0"/>
        <v>1100</v>
      </c>
      <c r="H20" s="12">
        <f t="shared" si="0"/>
        <v>2000</v>
      </c>
      <c r="I20" s="12">
        <f t="shared" si="0"/>
        <v>550</v>
      </c>
      <c r="J20" s="12">
        <f t="shared" si="0"/>
        <v>2250</v>
      </c>
      <c r="K20" s="12">
        <f t="shared" si="0"/>
        <v>1550</v>
      </c>
      <c r="L20" s="13"/>
    </row>
    <row r="21" spans="1:11" ht="21">
      <c r="A21" s="5" t="s">
        <v>31</v>
      </c>
      <c r="B21" s="7">
        <v>10000</v>
      </c>
      <c r="C21" s="6"/>
      <c r="D21" s="6"/>
      <c r="E21" s="6"/>
      <c r="F21" s="11">
        <f>B21*0.6</f>
        <v>6000</v>
      </c>
      <c r="G21" s="11">
        <f>B21*0.1</f>
        <v>1000</v>
      </c>
      <c r="H21" s="11">
        <f>B21*0.1</f>
        <v>1000</v>
      </c>
      <c r="I21" s="11">
        <f>B21*0.1</f>
        <v>1000</v>
      </c>
      <c r="J21" s="11">
        <f>B21*0.1</f>
        <v>1000</v>
      </c>
      <c r="K21" s="6"/>
    </row>
  </sheetData>
  <mergeCells count="3">
    <mergeCell ref="A1:K1"/>
    <mergeCell ref="B2:C2"/>
    <mergeCell ref="D2:K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C52">
      <selection activeCell="E68" sqref="E68"/>
    </sheetView>
  </sheetViews>
  <sheetFormatPr defaultColWidth="9.140625" defaultRowHeight="12.75"/>
  <cols>
    <col min="1" max="1" width="74.28125" style="1" customWidth="1"/>
    <col min="2" max="2" width="9.8515625" style="1" bestFit="1" customWidth="1"/>
    <col min="3" max="4" width="9.00390625" style="1" bestFit="1" customWidth="1"/>
    <col min="5" max="5" width="30.421875" style="1" bestFit="1" customWidth="1"/>
    <col min="6" max="16384" width="9.140625" style="1" customWidth="1"/>
  </cols>
  <sheetData>
    <row r="1" spans="1:5" ht="21">
      <c r="A1" s="38" t="s">
        <v>33</v>
      </c>
      <c r="B1" s="38"/>
      <c r="C1" s="38"/>
      <c r="D1" s="38"/>
      <c r="E1" s="38"/>
    </row>
    <row r="2" spans="1:5" ht="21">
      <c r="A2" s="38" t="s">
        <v>34</v>
      </c>
      <c r="B2" s="38"/>
      <c r="C2" s="38"/>
      <c r="D2" s="38"/>
      <c r="E2" s="38"/>
    </row>
    <row r="3" spans="1:5" ht="21">
      <c r="A3" s="3" t="s">
        <v>33</v>
      </c>
      <c r="B3" s="3" t="s">
        <v>38</v>
      </c>
      <c r="C3" s="3" t="s">
        <v>39</v>
      </c>
      <c r="D3" s="3" t="s">
        <v>40</v>
      </c>
      <c r="E3" s="3" t="s">
        <v>36</v>
      </c>
    </row>
    <row r="4" spans="1:5" ht="21">
      <c r="A4" s="4" t="s">
        <v>37</v>
      </c>
      <c r="B4" s="5"/>
      <c r="C4" s="5"/>
      <c r="D4" s="5"/>
      <c r="E4" s="5"/>
    </row>
    <row r="5" spans="1:5" ht="21">
      <c r="A5" s="5" t="s">
        <v>104</v>
      </c>
      <c r="B5" s="14">
        <f>30000*4*5</f>
        <v>600000</v>
      </c>
      <c r="C5" s="14">
        <f>30000*10*4</f>
        <v>1200000</v>
      </c>
      <c r="D5" s="14">
        <f>30000*15*4</f>
        <v>1800000</v>
      </c>
      <c r="E5" s="5"/>
    </row>
    <row r="6" spans="1:5" ht="21">
      <c r="A6" s="16" t="s">
        <v>41</v>
      </c>
      <c r="B6" s="17">
        <f>SUM(B5)</f>
        <v>600000</v>
      </c>
      <c r="C6" s="17">
        <f>SUM(C5)</f>
        <v>1200000</v>
      </c>
      <c r="D6" s="17">
        <f>SUM(D5)</f>
        <v>1800000</v>
      </c>
      <c r="E6" s="16"/>
    </row>
    <row r="7" spans="1:5" ht="21">
      <c r="A7" s="4" t="s">
        <v>42</v>
      </c>
      <c r="B7" s="5"/>
      <c r="C7" s="5"/>
      <c r="D7" s="5"/>
      <c r="E7" s="5"/>
    </row>
    <row r="8" spans="1:5" ht="21">
      <c r="A8" s="4" t="s">
        <v>43</v>
      </c>
      <c r="B8" s="5"/>
      <c r="C8" s="5"/>
      <c r="D8" s="5"/>
      <c r="E8" s="5"/>
    </row>
    <row r="9" spans="1:5" ht="21">
      <c r="A9" s="5" t="s">
        <v>44</v>
      </c>
      <c r="B9" s="14">
        <f>2*5*3765</f>
        <v>37650</v>
      </c>
      <c r="C9" s="14">
        <f>2*10*3765</f>
        <v>75300</v>
      </c>
      <c r="D9" s="14">
        <f>2*15*3765</f>
        <v>112950</v>
      </c>
      <c r="E9" s="5"/>
    </row>
    <row r="10" spans="1:5" ht="21">
      <c r="A10" s="5" t="s">
        <v>45</v>
      </c>
      <c r="B10" s="14">
        <f>2*5*3900</f>
        <v>39000</v>
      </c>
      <c r="C10" s="14">
        <f>2*10*3900</f>
        <v>78000</v>
      </c>
      <c r="D10" s="14">
        <f>2*15*3900</f>
        <v>117000</v>
      </c>
      <c r="E10" s="5"/>
    </row>
    <row r="11" spans="1:5" ht="21">
      <c r="A11" s="5" t="s">
        <v>46</v>
      </c>
      <c r="B11" s="15">
        <f>2*5*44885</f>
        <v>448850</v>
      </c>
      <c r="C11" s="15">
        <f>2*10*44885</f>
        <v>897700</v>
      </c>
      <c r="D11" s="15">
        <f>2*15*44885</f>
        <v>1346550</v>
      </c>
      <c r="E11" s="5"/>
    </row>
    <row r="12" spans="1:5" ht="21">
      <c r="A12" s="5" t="s">
        <v>47</v>
      </c>
      <c r="B12" s="14">
        <f>2*5*1100</f>
        <v>11000</v>
      </c>
      <c r="C12" s="14">
        <f>2*10*1100</f>
        <v>22000</v>
      </c>
      <c r="D12" s="14">
        <f>2*15*1100</f>
        <v>33000</v>
      </c>
      <c r="E12" s="5"/>
    </row>
    <row r="13" spans="1:5" ht="21">
      <c r="A13" s="5" t="s">
        <v>48</v>
      </c>
      <c r="B13" s="14">
        <f>2*5*2000</f>
        <v>20000</v>
      </c>
      <c r="C13" s="14">
        <f>2*10*2000</f>
        <v>40000</v>
      </c>
      <c r="D13" s="14">
        <f>2*15*2000</f>
        <v>60000</v>
      </c>
      <c r="E13" s="5"/>
    </row>
    <row r="14" spans="1:5" ht="21">
      <c r="A14" s="5" t="s">
        <v>49</v>
      </c>
      <c r="B14" s="14">
        <f>2*5*550</f>
        <v>5500</v>
      </c>
      <c r="C14" s="14">
        <f>2*10*550</f>
        <v>11000</v>
      </c>
      <c r="D14" s="14">
        <f>2*15*550</f>
        <v>16500</v>
      </c>
      <c r="E14" s="5"/>
    </row>
    <row r="15" spans="1:5" ht="21">
      <c r="A15" s="5" t="s">
        <v>50</v>
      </c>
      <c r="B15" s="14">
        <f>2*5*2250</f>
        <v>22500</v>
      </c>
      <c r="C15" s="14">
        <f>2*10*2250</f>
        <v>45000</v>
      </c>
      <c r="D15" s="14">
        <f>2*15*2250</f>
        <v>67500</v>
      </c>
      <c r="E15" s="5"/>
    </row>
    <row r="16" spans="1:5" ht="21">
      <c r="A16" s="5" t="s">
        <v>51</v>
      </c>
      <c r="B16" s="14">
        <f>2*5*200</f>
        <v>2000</v>
      </c>
      <c r="C16" s="14">
        <f>2*10*200</f>
        <v>4000</v>
      </c>
      <c r="D16" s="14">
        <f>2*15*200</f>
        <v>6000</v>
      </c>
      <c r="E16" s="5"/>
    </row>
    <row r="17" spans="1:5" ht="21">
      <c r="A17" s="5" t="s">
        <v>52</v>
      </c>
      <c r="B17" s="14">
        <f>2*5*600</f>
        <v>6000</v>
      </c>
      <c r="C17" s="14">
        <f>2*10*600</f>
        <v>12000</v>
      </c>
      <c r="D17" s="14">
        <f>2*15*600</f>
        <v>18000</v>
      </c>
      <c r="E17" s="5"/>
    </row>
    <row r="18" spans="1:5" ht="21">
      <c r="A18" s="5" t="s">
        <v>53</v>
      </c>
      <c r="B18" s="14">
        <f>2*5*600</f>
        <v>6000</v>
      </c>
      <c r="C18" s="14">
        <f>2*10*600</f>
        <v>12000</v>
      </c>
      <c r="D18" s="14">
        <f>2*15*600</f>
        <v>18000</v>
      </c>
      <c r="E18" s="5"/>
    </row>
    <row r="19" spans="1:5" ht="21">
      <c r="A19" s="5" t="s">
        <v>54</v>
      </c>
      <c r="B19" s="14">
        <f>2*5*50</f>
        <v>500</v>
      </c>
      <c r="C19" s="14">
        <f>2*10*50</f>
        <v>1000</v>
      </c>
      <c r="D19" s="14">
        <f>2*15*50</f>
        <v>1500</v>
      </c>
      <c r="E19" s="5"/>
    </row>
    <row r="20" spans="1:5" ht="21">
      <c r="A20" s="5" t="s">
        <v>55</v>
      </c>
      <c r="B20" s="14">
        <f>2*5*100</f>
        <v>1000</v>
      </c>
      <c r="C20" s="14">
        <f>2*10*100</f>
        <v>2000</v>
      </c>
      <c r="D20" s="14">
        <f>2*15*100</f>
        <v>3000</v>
      </c>
      <c r="E20" s="5"/>
    </row>
    <row r="21" spans="1:5" ht="21">
      <c r="A21" s="16" t="s">
        <v>56</v>
      </c>
      <c r="B21" s="17">
        <f>SUM(B9:B20)</f>
        <v>600000</v>
      </c>
      <c r="C21" s="17">
        <f>SUM(C9:C20)</f>
        <v>1200000</v>
      </c>
      <c r="D21" s="17">
        <f>SUM(D9:D20)</f>
        <v>1800000</v>
      </c>
      <c r="E21" s="16"/>
    </row>
    <row r="24" spans="1:5" ht="21">
      <c r="A24" s="3" t="s">
        <v>33</v>
      </c>
      <c r="B24" s="3" t="s">
        <v>38</v>
      </c>
      <c r="C24" s="3" t="s">
        <v>39</v>
      </c>
      <c r="D24" s="3" t="s">
        <v>40</v>
      </c>
      <c r="E24" s="3" t="s">
        <v>36</v>
      </c>
    </row>
    <row r="25" spans="1:5" ht="21">
      <c r="A25" s="4" t="s">
        <v>57</v>
      </c>
      <c r="B25" s="15">
        <f>2*5*44885</f>
        <v>448850</v>
      </c>
      <c r="C25" s="15">
        <f>2*10*44885</f>
        <v>897700</v>
      </c>
      <c r="D25" s="15">
        <f>2*15*44885</f>
        <v>1346550</v>
      </c>
      <c r="E25" s="5"/>
    </row>
    <row r="26" spans="1:5" ht="21">
      <c r="A26" s="4" t="s">
        <v>58</v>
      </c>
      <c r="B26" s="5"/>
      <c r="C26" s="5"/>
      <c r="D26" s="5"/>
      <c r="E26" s="5"/>
    </row>
    <row r="27" spans="1:5" ht="21">
      <c r="A27" s="5" t="s">
        <v>59</v>
      </c>
      <c r="B27" s="14">
        <f>1620*5</f>
        <v>8100</v>
      </c>
      <c r="C27" s="14">
        <f>1620*10</f>
        <v>16200</v>
      </c>
      <c r="D27" s="14">
        <f>1620*15</f>
        <v>24300</v>
      </c>
      <c r="E27" s="5" t="s">
        <v>61</v>
      </c>
    </row>
    <row r="28" spans="1:5" ht="21">
      <c r="A28" s="5"/>
      <c r="B28" s="5"/>
      <c r="C28" s="5"/>
      <c r="D28" s="5"/>
      <c r="E28" s="5" t="s">
        <v>62</v>
      </c>
    </row>
    <row r="29" spans="1:5" ht="21">
      <c r="A29" s="5" t="s">
        <v>60</v>
      </c>
      <c r="B29" s="14">
        <f>3300*5</f>
        <v>16500</v>
      </c>
      <c r="C29" s="14">
        <f>3300*10</f>
        <v>33000</v>
      </c>
      <c r="D29" s="14">
        <f>3300*15</f>
        <v>49500</v>
      </c>
      <c r="E29" s="5" t="s">
        <v>63</v>
      </c>
    </row>
    <row r="30" spans="1:5" ht="21">
      <c r="A30" s="5"/>
      <c r="B30" s="5"/>
      <c r="C30" s="5"/>
      <c r="D30" s="5"/>
      <c r="E30" s="5" t="s">
        <v>64</v>
      </c>
    </row>
    <row r="31" spans="1:5" ht="21">
      <c r="A31" s="5"/>
      <c r="B31" s="5"/>
      <c r="C31" s="5"/>
      <c r="D31" s="5"/>
      <c r="E31" s="5" t="s">
        <v>65</v>
      </c>
    </row>
    <row r="32" spans="1:5" ht="21">
      <c r="A32" s="5" t="s">
        <v>66</v>
      </c>
      <c r="B32" s="14">
        <f>1620*5</f>
        <v>8100</v>
      </c>
      <c r="C32" s="14">
        <f>1620*10</f>
        <v>16200</v>
      </c>
      <c r="D32" s="14">
        <f>1620*15</f>
        <v>24300</v>
      </c>
      <c r="E32" s="5" t="s">
        <v>61</v>
      </c>
    </row>
    <row r="33" spans="1:5" ht="21">
      <c r="A33" s="5"/>
      <c r="B33" s="5"/>
      <c r="C33" s="5"/>
      <c r="D33" s="5"/>
      <c r="E33" s="5" t="s">
        <v>62</v>
      </c>
    </row>
    <row r="34" spans="1:5" ht="21">
      <c r="A34" s="4" t="s">
        <v>67</v>
      </c>
      <c r="B34" s="5"/>
      <c r="C34" s="5"/>
      <c r="D34" s="5"/>
      <c r="E34" s="5"/>
    </row>
    <row r="35" spans="1:5" ht="21">
      <c r="A35" s="5" t="s">
        <v>68</v>
      </c>
      <c r="B35" s="5"/>
      <c r="C35" s="5"/>
      <c r="D35" s="5"/>
      <c r="E35" s="5"/>
    </row>
    <row r="36" spans="1:5" ht="21">
      <c r="A36" s="5" t="s">
        <v>69</v>
      </c>
      <c r="B36" s="5"/>
      <c r="C36" s="5"/>
      <c r="D36" s="5"/>
      <c r="E36" s="5"/>
    </row>
    <row r="37" spans="1:5" ht="21">
      <c r="A37" s="5" t="s">
        <v>70</v>
      </c>
      <c r="B37" s="14">
        <f>1000*5</f>
        <v>5000</v>
      </c>
      <c r="C37" s="14">
        <f>1000*10</f>
        <v>10000</v>
      </c>
      <c r="D37" s="14">
        <f>1000*15</f>
        <v>15000</v>
      </c>
      <c r="E37" s="5" t="s">
        <v>91</v>
      </c>
    </row>
    <row r="38" spans="1:5" ht="21">
      <c r="A38" s="5" t="s">
        <v>71</v>
      </c>
      <c r="B38" s="14">
        <f>7100*5</f>
        <v>35500</v>
      </c>
      <c r="C38" s="14">
        <f>7100*10</f>
        <v>71000</v>
      </c>
      <c r="D38" s="14">
        <f>7100*15</f>
        <v>106500</v>
      </c>
      <c r="E38" s="5" t="s">
        <v>92</v>
      </c>
    </row>
    <row r="39" spans="1:5" ht="21">
      <c r="A39" s="5" t="s">
        <v>72</v>
      </c>
      <c r="B39" s="14">
        <f>2500*5</f>
        <v>12500</v>
      </c>
      <c r="C39" s="14">
        <f>2500*10</f>
        <v>25000</v>
      </c>
      <c r="D39" s="14">
        <f>2500*15</f>
        <v>37500</v>
      </c>
      <c r="E39" s="5" t="s">
        <v>93</v>
      </c>
    </row>
    <row r="40" spans="1:5" ht="21">
      <c r="A40" s="4" t="s">
        <v>73</v>
      </c>
      <c r="B40" s="5"/>
      <c r="C40" s="5"/>
      <c r="D40" s="5"/>
      <c r="E40" s="5"/>
    </row>
    <row r="41" spans="1:5" ht="21">
      <c r="A41" s="5" t="s">
        <v>74</v>
      </c>
      <c r="B41" s="14">
        <f>5000*4</f>
        <v>20000</v>
      </c>
      <c r="C41" s="14">
        <f aca="true" t="shared" si="0" ref="C41:D43">5000*4</f>
        <v>20000</v>
      </c>
      <c r="D41" s="14">
        <f t="shared" si="0"/>
        <v>20000</v>
      </c>
      <c r="E41" s="5" t="s">
        <v>94</v>
      </c>
    </row>
    <row r="42" spans="1:5" ht="21">
      <c r="A42" s="5" t="s">
        <v>75</v>
      </c>
      <c r="B42" s="5"/>
      <c r="C42" s="5"/>
      <c r="D42" s="5"/>
      <c r="E42" s="5"/>
    </row>
    <row r="43" spans="1:5" ht="21">
      <c r="A43" s="5" t="s">
        <v>76</v>
      </c>
      <c r="B43" s="14">
        <f>5000*4</f>
        <v>20000</v>
      </c>
      <c r="C43" s="14">
        <f t="shared" si="0"/>
        <v>20000</v>
      </c>
      <c r="D43" s="14">
        <f t="shared" si="0"/>
        <v>20000</v>
      </c>
      <c r="E43" s="5" t="s">
        <v>94</v>
      </c>
    </row>
    <row r="44" spans="1:5" ht="21">
      <c r="A44" s="5" t="s">
        <v>77</v>
      </c>
      <c r="B44" s="14">
        <v>10000</v>
      </c>
      <c r="C44" s="14">
        <v>10000</v>
      </c>
      <c r="D44" s="14">
        <v>10000</v>
      </c>
      <c r="E44" s="5"/>
    </row>
    <row r="45" spans="1:5" ht="21">
      <c r="A45" s="18" t="s">
        <v>95</v>
      </c>
      <c r="B45" s="10">
        <f>SUM(B27:B44)</f>
        <v>135700</v>
      </c>
      <c r="C45" s="10">
        <f>SUM(C27:C44)</f>
        <v>221400</v>
      </c>
      <c r="D45" s="10">
        <f>SUM(D27:D44)</f>
        <v>307100</v>
      </c>
      <c r="E45" s="5"/>
    </row>
    <row r="46" spans="1:5" ht="21">
      <c r="A46"/>
      <c r="B46"/>
      <c r="C46"/>
      <c r="D46"/>
      <c r="E46"/>
    </row>
    <row r="47" spans="1:5" ht="21">
      <c r="A47" s="3" t="s">
        <v>33</v>
      </c>
      <c r="B47" s="3" t="s">
        <v>38</v>
      </c>
      <c r="C47" s="3" t="s">
        <v>39</v>
      </c>
      <c r="D47" s="3" t="s">
        <v>40</v>
      </c>
      <c r="E47" s="3" t="s">
        <v>36</v>
      </c>
    </row>
    <row r="48" spans="1:5" ht="21">
      <c r="A48" s="4" t="s">
        <v>78</v>
      </c>
      <c r="B48" s="6"/>
      <c r="C48" s="6"/>
      <c r="D48" s="6"/>
      <c r="E48" s="5"/>
    </row>
    <row r="49" spans="1:5" ht="21">
      <c r="A49" s="5" t="s">
        <v>79</v>
      </c>
      <c r="B49" s="6"/>
      <c r="C49" s="6"/>
      <c r="D49" s="6"/>
      <c r="E49" s="5"/>
    </row>
    <row r="50" spans="1:5" ht="21">
      <c r="A50" s="5" t="s">
        <v>80</v>
      </c>
      <c r="B50" s="7">
        <f>5000*4</f>
        <v>20000</v>
      </c>
      <c r="C50" s="7">
        <f>5000*4</f>
        <v>20000</v>
      </c>
      <c r="D50" s="7">
        <f>5000*4</f>
        <v>20000</v>
      </c>
      <c r="E50" s="5" t="s">
        <v>94</v>
      </c>
    </row>
    <row r="51" spans="1:5" ht="21">
      <c r="A51" s="5"/>
      <c r="B51" s="6"/>
      <c r="C51" s="6"/>
      <c r="D51" s="6"/>
      <c r="E51" s="5"/>
    </row>
    <row r="52" spans="1:5" ht="21">
      <c r="A52" s="4" t="s">
        <v>81</v>
      </c>
      <c r="B52" s="6"/>
      <c r="C52" s="6"/>
      <c r="D52" s="6"/>
      <c r="E52" s="5"/>
    </row>
    <row r="53" spans="1:5" ht="21">
      <c r="A53" s="5" t="s">
        <v>82</v>
      </c>
      <c r="B53" s="6"/>
      <c r="C53" s="6"/>
      <c r="D53" s="6"/>
      <c r="E53" s="5"/>
    </row>
    <row r="54" spans="1:5" ht="21">
      <c r="A54" s="5"/>
      <c r="B54" s="6"/>
      <c r="C54" s="6"/>
      <c r="D54" s="6"/>
      <c r="E54" s="5"/>
    </row>
    <row r="55" spans="1:5" ht="21">
      <c r="A55" s="4" t="s">
        <v>83</v>
      </c>
      <c r="B55" s="6"/>
      <c r="C55" s="6"/>
      <c r="D55" s="6"/>
      <c r="E55" s="5"/>
    </row>
    <row r="56" spans="1:5" ht="21">
      <c r="A56" s="5" t="s">
        <v>84</v>
      </c>
      <c r="B56" s="7">
        <f>50000*4</f>
        <v>200000</v>
      </c>
      <c r="C56" s="7">
        <f>50000*4</f>
        <v>200000</v>
      </c>
      <c r="D56" s="7">
        <f>50000*4</f>
        <v>200000</v>
      </c>
      <c r="E56" s="5" t="s">
        <v>96</v>
      </c>
    </row>
    <row r="57" spans="1:5" ht="21">
      <c r="A57" s="5" t="s">
        <v>85</v>
      </c>
      <c r="B57" s="7">
        <f>30000*4</f>
        <v>120000</v>
      </c>
      <c r="C57" s="7">
        <f>30000*4</f>
        <v>120000</v>
      </c>
      <c r="D57" s="7">
        <f>30000*4</f>
        <v>120000</v>
      </c>
      <c r="E57" s="5" t="s">
        <v>97</v>
      </c>
    </row>
    <row r="58" spans="1:5" ht="21">
      <c r="A58" s="5" t="s">
        <v>86</v>
      </c>
      <c r="B58" s="7">
        <f>25000*4</f>
        <v>100000</v>
      </c>
      <c r="C58" s="7">
        <f>25000*4</f>
        <v>100000</v>
      </c>
      <c r="D58" s="7">
        <f>25000*4</f>
        <v>100000</v>
      </c>
      <c r="E58" s="5" t="s">
        <v>98</v>
      </c>
    </row>
    <row r="59" spans="1:5" ht="21">
      <c r="A59" s="5" t="s">
        <v>87</v>
      </c>
      <c r="B59" s="7">
        <f>20000*4</f>
        <v>80000</v>
      </c>
      <c r="C59" s="7">
        <f>20000*4</f>
        <v>80000</v>
      </c>
      <c r="D59" s="7">
        <f>20000*4</f>
        <v>80000</v>
      </c>
      <c r="E59" s="5" t="s">
        <v>99</v>
      </c>
    </row>
    <row r="60" spans="1:5" ht="21">
      <c r="A60" s="5" t="s">
        <v>88</v>
      </c>
      <c r="B60" s="7">
        <f>12000*4</f>
        <v>48000</v>
      </c>
      <c r="C60" s="7">
        <f>12000*4</f>
        <v>48000</v>
      </c>
      <c r="D60" s="7">
        <f>12000*4</f>
        <v>48000</v>
      </c>
      <c r="E60" s="5" t="s">
        <v>100</v>
      </c>
    </row>
    <row r="61" spans="1:5" ht="21">
      <c r="A61" s="5" t="s">
        <v>89</v>
      </c>
      <c r="B61" s="7">
        <f>20000*4</f>
        <v>80000</v>
      </c>
      <c r="C61" s="7">
        <f>20000*4</f>
        <v>80000</v>
      </c>
      <c r="D61" s="7">
        <f>20000*4</f>
        <v>80000</v>
      </c>
      <c r="E61" s="5" t="s">
        <v>99</v>
      </c>
    </row>
    <row r="62" spans="1:5" ht="21">
      <c r="A62" s="3" t="s">
        <v>101</v>
      </c>
      <c r="B62" s="10">
        <f>SUM(B56:B61,B50,B45)</f>
        <v>783700</v>
      </c>
      <c r="C62" s="10">
        <f>SUM(C56:C61,C50,C45)</f>
        <v>869400</v>
      </c>
      <c r="D62" s="10">
        <f>SUM(D56:D61,D50,D45)</f>
        <v>955100</v>
      </c>
      <c r="E62" s="5"/>
    </row>
    <row r="63" spans="1:5" ht="21">
      <c r="A63" s="3" t="s">
        <v>102</v>
      </c>
      <c r="B63" s="10">
        <f>B25-B62</f>
        <v>-334850</v>
      </c>
      <c r="C63" s="10">
        <f>C25-C62</f>
        <v>28300</v>
      </c>
      <c r="D63" s="10">
        <f>D25-D62</f>
        <v>391450</v>
      </c>
      <c r="E63" s="5" t="s">
        <v>103</v>
      </c>
    </row>
    <row r="64" spans="1:5" ht="21">
      <c r="A64" s="3" t="s">
        <v>90</v>
      </c>
      <c r="B64" s="10">
        <f>B62/4/5</f>
        <v>39185</v>
      </c>
      <c r="C64" s="10">
        <f>C62/4/10</f>
        <v>21735</v>
      </c>
      <c r="D64" s="10">
        <f>D62/4/15</f>
        <v>15918.333333333334</v>
      </c>
      <c r="E64" s="5" t="s">
        <v>105</v>
      </c>
    </row>
  </sheetData>
  <mergeCells count="2">
    <mergeCell ref="A1:E1"/>
    <mergeCell ref="A2:E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52">
      <selection activeCell="A67" sqref="A67"/>
    </sheetView>
  </sheetViews>
  <sheetFormatPr defaultColWidth="9.140625" defaultRowHeight="12.75"/>
  <cols>
    <col min="1" max="1" width="82.421875" style="1" customWidth="1"/>
    <col min="2" max="2" width="15.140625" style="1" customWidth="1"/>
    <col min="3" max="3" width="36.7109375" style="1" customWidth="1"/>
    <col min="4" max="16384" width="9.140625" style="1" customWidth="1"/>
  </cols>
  <sheetData>
    <row r="1" spans="1:3" ht="23.25">
      <c r="A1" s="40" t="s">
        <v>33</v>
      </c>
      <c r="B1" s="40"/>
      <c r="C1" s="40"/>
    </row>
    <row r="2" spans="1:3" ht="21">
      <c r="A2" s="38" t="s">
        <v>34</v>
      </c>
      <c r="B2" s="38"/>
      <c r="C2" s="38"/>
    </row>
    <row r="3" spans="1:3" ht="21">
      <c r="A3" s="3" t="s">
        <v>33</v>
      </c>
      <c r="B3" s="3" t="s">
        <v>35</v>
      </c>
      <c r="C3" s="3" t="s">
        <v>36</v>
      </c>
    </row>
    <row r="4" spans="1:3" ht="21">
      <c r="A4" s="4" t="s">
        <v>37</v>
      </c>
      <c r="B4" s="5"/>
      <c r="C4" s="5"/>
    </row>
    <row r="5" spans="1:3" ht="21">
      <c r="A5" s="5" t="s">
        <v>104</v>
      </c>
      <c r="B5" s="14">
        <f>30000*10*4</f>
        <v>1200000</v>
      </c>
      <c r="C5" s="5" t="s">
        <v>106</v>
      </c>
    </row>
    <row r="6" spans="1:3" ht="21">
      <c r="A6" s="16" t="s">
        <v>41</v>
      </c>
      <c r="B6" s="17">
        <f>SUM(B5)</f>
        <v>1200000</v>
      </c>
      <c r="C6" s="19"/>
    </row>
    <row r="7" spans="1:3" ht="21">
      <c r="A7" s="4" t="s">
        <v>42</v>
      </c>
      <c r="B7" s="5"/>
      <c r="C7" s="5"/>
    </row>
    <row r="8" spans="1:3" ht="21">
      <c r="A8" s="4" t="s">
        <v>43</v>
      </c>
      <c r="B8" s="5"/>
      <c r="C8" s="5"/>
    </row>
    <row r="9" spans="1:3" ht="21">
      <c r="A9" s="5" t="s">
        <v>44</v>
      </c>
      <c r="B9" s="14">
        <f>2*10*3765</f>
        <v>75300</v>
      </c>
      <c r="C9" s="5" t="s">
        <v>107</v>
      </c>
    </row>
    <row r="10" spans="1:3" ht="21">
      <c r="A10" s="5" t="s">
        <v>45</v>
      </c>
      <c r="B10" s="14">
        <f>2*10*3900</f>
        <v>78000</v>
      </c>
      <c r="C10" s="5" t="s">
        <v>108</v>
      </c>
    </row>
    <row r="11" spans="1:3" ht="21">
      <c r="A11" s="5" t="s">
        <v>46</v>
      </c>
      <c r="B11" s="14">
        <f>2*10*44885</f>
        <v>897700</v>
      </c>
      <c r="C11" s="5" t="s">
        <v>109</v>
      </c>
    </row>
    <row r="12" spans="1:3" ht="21">
      <c r="A12" s="5" t="s">
        <v>47</v>
      </c>
      <c r="B12" s="14">
        <f>2*10*1100</f>
        <v>22000</v>
      </c>
      <c r="C12" s="5" t="s">
        <v>114</v>
      </c>
    </row>
    <row r="13" spans="1:3" ht="21">
      <c r="A13" s="5" t="s">
        <v>48</v>
      </c>
      <c r="B13" s="14">
        <f>2*10*2000</f>
        <v>40000</v>
      </c>
      <c r="C13" s="5" t="s">
        <v>115</v>
      </c>
    </row>
    <row r="14" spans="1:3" ht="21">
      <c r="A14" s="5" t="s">
        <v>49</v>
      </c>
      <c r="B14" s="14">
        <f>2*10*550</f>
        <v>11000</v>
      </c>
      <c r="C14" s="5" t="s">
        <v>116</v>
      </c>
    </row>
    <row r="15" spans="1:3" ht="21">
      <c r="A15" s="5" t="s">
        <v>50</v>
      </c>
      <c r="B15" s="14">
        <f>2*10*2250</f>
        <v>45000</v>
      </c>
      <c r="C15" s="5" t="s">
        <v>117</v>
      </c>
    </row>
    <row r="16" spans="1:3" ht="21">
      <c r="A16" s="5" t="s">
        <v>51</v>
      </c>
      <c r="B16" s="14">
        <f>2*10*200</f>
        <v>4000</v>
      </c>
      <c r="C16" s="5" t="s">
        <v>110</v>
      </c>
    </row>
    <row r="17" spans="1:3" ht="21">
      <c r="A17" s="5" t="s">
        <v>52</v>
      </c>
      <c r="B17" s="14">
        <f>2*10*600</f>
        <v>12000</v>
      </c>
      <c r="C17" s="5" t="s">
        <v>111</v>
      </c>
    </row>
    <row r="18" spans="1:3" ht="21">
      <c r="A18" s="5" t="s">
        <v>53</v>
      </c>
      <c r="B18" s="14">
        <f>2*10*600</f>
        <v>12000</v>
      </c>
      <c r="C18" s="5" t="s">
        <v>111</v>
      </c>
    </row>
    <row r="19" spans="1:3" ht="21">
      <c r="A19" s="5" t="s">
        <v>54</v>
      </c>
      <c r="B19" s="14">
        <f>2*10*50</f>
        <v>1000</v>
      </c>
      <c r="C19" s="5" t="s">
        <v>112</v>
      </c>
    </row>
    <row r="20" spans="1:3" ht="21">
      <c r="A20" s="5" t="s">
        <v>55</v>
      </c>
      <c r="B20" s="14">
        <f>2*10*100</f>
        <v>2000</v>
      </c>
      <c r="C20" s="5" t="s">
        <v>113</v>
      </c>
    </row>
    <row r="21" spans="1:3" ht="21">
      <c r="A21" s="16" t="s">
        <v>56</v>
      </c>
      <c r="B21" s="17">
        <f>SUM(B9:B20)</f>
        <v>1200000</v>
      </c>
      <c r="C21" s="19"/>
    </row>
    <row r="23" spans="1:3" ht="21">
      <c r="A23" s="3" t="s">
        <v>33</v>
      </c>
      <c r="B23" s="3" t="s">
        <v>35</v>
      </c>
      <c r="C23" s="3" t="s">
        <v>36</v>
      </c>
    </row>
    <row r="24" spans="1:3" ht="21">
      <c r="A24" s="4" t="s">
        <v>57</v>
      </c>
      <c r="B24" s="15">
        <f>2*10*44885</f>
        <v>897700</v>
      </c>
      <c r="C24" s="5" t="s">
        <v>109</v>
      </c>
    </row>
    <row r="25" spans="1:3" ht="21">
      <c r="A25" s="4"/>
      <c r="B25" s="15"/>
      <c r="C25" s="5"/>
    </row>
    <row r="26" spans="1:3" ht="21">
      <c r="A26" s="4" t="s">
        <v>58</v>
      </c>
      <c r="B26" s="5"/>
      <c r="C26" s="5"/>
    </row>
    <row r="27" spans="1:3" ht="21">
      <c r="A27" s="5" t="s">
        <v>59</v>
      </c>
      <c r="B27" s="14">
        <f>1620*10</f>
        <v>16200</v>
      </c>
      <c r="C27" s="5" t="s">
        <v>61</v>
      </c>
    </row>
    <row r="28" spans="1:3" ht="21">
      <c r="A28" s="5"/>
      <c r="B28" s="5"/>
      <c r="C28" s="5" t="s">
        <v>62</v>
      </c>
    </row>
    <row r="29" spans="1:3" ht="21">
      <c r="A29" s="5" t="s">
        <v>60</v>
      </c>
      <c r="B29" s="14">
        <f>3300*10</f>
        <v>33000</v>
      </c>
      <c r="C29" s="5" t="s">
        <v>63</v>
      </c>
    </row>
    <row r="30" spans="1:3" ht="21">
      <c r="A30" s="5"/>
      <c r="B30" s="5"/>
      <c r="C30" s="5" t="s">
        <v>64</v>
      </c>
    </row>
    <row r="31" spans="1:3" ht="21">
      <c r="A31" s="5"/>
      <c r="B31" s="5"/>
      <c r="C31" s="5" t="s">
        <v>65</v>
      </c>
    </row>
    <row r="32" spans="1:3" ht="21">
      <c r="A32" s="5" t="s">
        <v>66</v>
      </c>
      <c r="B32" s="14">
        <f>1620*10</f>
        <v>16200</v>
      </c>
      <c r="C32" s="5" t="s">
        <v>61</v>
      </c>
    </row>
    <row r="33" spans="1:3" ht="21">
      <c r="A33" s="5"/>
      <c r="B33" s="5"/>
      <c r="C33" s="5" t="s">
        <v>62</v>
      </c>
    </row>
    <row r="34" spans="1:3" ht="21">
      <c r="A34" s="4" t="s">
        <v>67</v>
      </c>
      <c r="B34" s="5"/>
      <c r="C34" s="5"/>
    </row>
    <row r="35" spans="1:3" ht="21">
      <c r="A35" s="5" t="s">
        <v>68</v>
      </c>
      <c r="B35" s="5"/>
      <c r="C35" s="5"/>
    </row>
    <row r="36" spans="1:3" ht="21">
      <c r="A36" s="5" t="s">
        <v>69</v>
      </c>
      <c r="B36" s="5"/>
      <c r="C36" s="5"/>
    </row>
    <row r="37" spans="1:3" ht="21">
      <c r="A37" s="5" t="s">
        <v>70</v>
      </c>
      <c r="B37" s="14">
        <f>1000*10</f>
        <v>10000</v>
      </c>
      <c r="C37" s="5" t="s">
        <v>91</v>
      </c>
    </row>
    <row r="38" spans="1:3" ht="21">
      <c r="A38" s="5" t="s">
        <v>71</v>
      </c>
      <c r="B38" s="14">
        <f>7100*10</f>
        <v>71000</v>
      </c>
      <c r="C38" s="5" t="s">
        <v>92</v>
      </c>
    </row>
    <row r="39" spans="1:3" ht="21">
      <c r="A39" s="5" t="s">
        <v>72</v>
      </c>
      <c r="B39" s="14">
        <f>2500*10</f>
        <v>25000</v>
      </c>
      <c r="C39" s="5" t="s">
        <v>93</v>
      </c>
    </row>
    <row r="40" spans="1:3" ht="21">
      <c r="A40" s="4" t="s">
        <v>73</v>
      </c>
      <c r="B40" s="5"/>
      <c r="C40" s="5"/>
    </row>
    <row r="41" spans="1:3" ht="21">
      <c r="A41" s="5" t="s">
        <v>74</v>
      </c>
      <c r="B41" s="14">
        <f>5000*4</f>
        <v>20000</v>
      </c>
      <c r="C41" s="5" t="s">
        <v>94</v>
      </c>
    </row>
    <row r="42" spans="1:3" ht="21">
      <c r="A42" s="5" t="s">
        <v>75</v>
      </c>
      <c r="B42" s="5"/>
      <c r="C42" s="5"/>
    </row>
    <row r="43" spans="1:3" ht="21">
      <c r="A43" s="5" t="s">
        <v>76</v>
      </c>
      <c r="B43" s="14">
        <f>5000*4</f>
        <v>20000</v>
      </c>
      <c r="C43" s="5" t="s">
        <v>94</v>
      </c>
    </row>
    <row r="44" spans="1:3" ht="21">
      <c r="A44" s="5" t="s">
        <v>77</v>
      </c>
      <c r="B44" s="14">
        <v>10000</v>
      </c>
      <c r="C44" s="5"/>
    </row>
    <row r="45" spans="1:3" ht="21">
      <c r="A45" s="18" t="s">
        <v>95</v>
      </c>
      <c r="B45" s="10">
        <f>SUM(B27:B44)</f>
        <v>221400</v>
      </c>
      <c r="C45" s="5"/>
    </row>
    <row r="46" spans="1:3" ht="21">
      <c r="A46" s="3" t="s">
        <v>33</v>
      </c>
      <c r="B46" s="3" t="s">
        <v>39</v>
      </c>
      <c r="C46" s="3" t="s">
        <v>36</v>
      </c>
    </row>
    <row r="47" spans="1:3" ht="21">
      <c r="A47" s="4" t="s">
        <v>78</v>
      </c>
      <c r="B47" s="6"/>
      <c r="C47" s="5"/>
    </row>
    <row r="48" spans="1:3" ht="21">
      <c r="A48" s="5" t="s">
        <v>79</v>
      </c>
      <c r="B48" s="6"/>
      <c r="C48" s="5"/>
    </row>
    <row r="49" spans="1:3" ht="21">
      <c r="A49" s="5" t="s">
        <v>80</v>
      </c>
      <c r="B49" s="7">
        <f>5000*4</f>
        <v>20000</v>
      </c>
      <c r="C49" s="5" t="s">
        <v>94</v>
      </c>
    </row>
    <row r="50" spans="1:3" ht="21">
      <c r="A50" s="5"/>
      <c r="B50" s="6"/>
      <c r="C50" s="5"/>
    </row>
    <row r="51" spans="1:3" ht="21">
      <c r="A51" s="4" t="s">
        <v>81</v>
      </c>
      <c r="B51" s="6"/>
      <c r="C51" s="5"/>
    </row>
    <row r="52" spans="1:3" ht="21">
      <c r="A52" s="5" t="s">
        <v>82</v>
      </c>
      <c r="B52" s="6"/>
      <c r="C52" s="5"/>
    </row>
    <row r="53" spans="1:3" ht="21">
      <c r="A53" s="5"/>
      <c r="B53" s="6"/>
      <c r="C53" s="5"/>
    </row>
    <row r="54" spans="1:3" ht="21">
      <c r="A54" s="4" t="s">
        <v>83</v>
      </c>
      <c r="B54" s="6"/>
      <c r="C54" s="5"/>
    </row>
    <row r="55" spans="1:3" ht="21">
      <c r="A55" s="5" t="s">
        <v>84</v>
      </c>
      <c r="B55" s="7">
        <f>50000*4</f>
        <v>200000</v>
      </c>
      <c r="C55" s="5" t="s">
        <v>96</v>
      </c>
    </row>
    <row r="56" spans="1:3" ht="21">
      <c r="A56" s="5" t="s">
        <v>85</v>
      </c>
      <c r="B56" s="7">
        <f>30000*4</f>
        <v>120000</v>
      </c>
      <c r="C56" s="5" t="s">
        <v>97</v>
      </c>
    </row>
    <row r="57" spans="1:3" ht="21">
      <c r="A57" s="5" t="s">
        <v>86</v>
      </c>
      <c r="B57" s="7">
        <f>25000*4</f>
        <v>100000</v>
      </c>
      <c r="C57" s="5" t="s">
        <v>98</v>
      </c>
    </row>
    <row r="58" spans="1:3" ht="21">
      <c r="A58" s="5" t="s">
        <v>87</v>
      </c>
      <c r="B58" s="7">
        <f>20000*4</f>
        <v>80000</v>
      </c>
      <c r="C58" s="5" t="s">
        <v>99</v>
      </c>
    </row>
    <row r="59" spans="1:3" ht="21">
      <c r="A59" s="5" t="s">
        <v>88</v>
      </c>
      <c r="B59" s="7">
        <f>12000*4</f>
        <v>48000</v>
      </c>
      <c r="C59" s="5" t="s">
        <v>100</v>
      </c>
    </row>
    <row r="60" spans="1:3" ht="21">
      <c r="A60" s="5" t="s">
        <v>89</v>
      </c>
      <c r="B60" s="7">
        <f>20000*4</f>
        <v>80000</v>
      </c>
      <c r="C60" s="5" t="s">
        <v>99</v>
      </c>
    </row>
    <row r="61" spans="1:3" ht="21">
      <c r="A61" s="18" t="s">
        <v>95</v>
      </c>
      <c r="B61" s="10">
        <f>SUM(B49:B60)</f>
        <v>648000</v>
      </c>
      <c r="C61" s="5"/>
    </row>
    <row r="62" spans="1:3" ht="21">
      <c r="A62" s="3" t="s">
        <v>101</v>
      </c>
      <c r="B62" s="10">
        <f>SUM(B61,B45)</f>
        <v>869400</v>
      </c>
      <c r="C62" s="5"/>
    </row>
    <row r="63" spans="1:3" ht="21">
      <c r="A63" s="3" t="s">
        <v>102</v>
      </c>
      <c r="B63" s="10">
        <f>B24-B62</f>
        <v>28300</v>
      </c>
      <c r="C63" s="5" t="s">
        <v>103</v>
      </c>
    </row>
    <row r="64" spans="1:3" ht="21">
      <c r="A64" s="3" t="s">
        <v>90</v>
      </c>
      <c r="B64" s="10">
        <f>B62/4/10</f>
        <v>21735</v>
      </c>
      <c r="C64" s="5" t="s">
        <v>105</v>
      </c>
    </row>
  </sheetData>
  <mergeCells count="2">
    <mergeCell ref="A1:C1"/>
    <mergeCell ref="A2:C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4">
      <selection activeCell="B21" sqref="B21"/>
    </sheetView>
  </sheetViews>
  <sheetFormatPr defaultColWidth="9.140625" defaultRowHeight="12.75"/>
  <cols>
    <col min="1" max="1" width="32.7109375" style="1" customWidth="1"/>
    <col min="2" max="2" width="7.7109375" style="1" customWidth="1"/>
    <col min="3" max="3" width="9.57421875" style="1" bestFit="1" customWidth="1"/>
    <col min="4" max="4" width="13.7109375" style="1" bestFit="1" customWidth="1"/>
    <col min="5" max="5" width="9.8515625" style="1" bestFit="1" customWidth="1"/>
    <col min="6" max="8" width="9.140625" style="1" customWidth="1"/>
    <col min="9" max="9" width="9.7109375" style="1" bestFit="1" customWidth="1"/>
    <col min="10" max="10" width="10.140625" style="1" bestFit="1" customWidth="1"/>
    <col min="11" max="11" width="10.8515625" style="1" bestFit="1" customWidth="1"/>
    <col min="12" max="16384" width="9.140625" style="1" customWidth="1"/>
  </cols>
  <sheetData>
    <row r="1" spans="1:15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  <c r="M1" s="2"/>
      <c r="N1" s="2"/>
      <c r="O1" s="2"/>
    </row>
    <row r="2" spans="1:11" ht="21">
      <c r="A2" s="3" t="s">
        <v>1</v>
      </c>
      <c r="B2" s="39" t="s">
        <v>3</v>
      </c>
      <c r="C2" s="39"/>
      <c r="D2" s="39" t="s">
        <v>2</v>
      </c>
      <c r="E2" s="39"/>
      <c r="F2" s="39"/>
      <c r="G2" s="39"/>
      <c r="H2" s="39"/>
      <c r="I2" s="39"/>
      <c r="J2" s="39"/>
      <c r="K2" s="39"/>
    </row>
    <row r="3" spans="1:11" ht="21">
      <c r="A3" s="4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</row>
    <row r="4" spans="1:11" ht="21">
      <c r="A4" s="5" t="s">
        <v>14</v>
      </c>
      <c r="B4" s="7">
        <f>B20-SUM(B5:B6,B8:B14,B17:B19)</f>
        <v>19650</v>
      </c>
      <c r="C4" s="6"/>
      <c r="D4" s="11">
        <f>B4*0.1</f>
        <v>1965</v>
      </c>
      <c r="E4" s="6"/>
      <c r="F4" s="11">
        <f>B4*0.9</f>
        <v>17685</v>
      </c>
      <c r="G4" s="6"/>
      <c r="H4" s="6"/>
      <c r="I4" s="6"/>
      <c r="J4" s="6"/>
      <c r="K4" s="6"/>
    </row>
    <row r="5" spans="1:11" ht="21">
      <c r="A5" s="5" t="s">
        <v>15</v>
      </c>
      <c r="B5" s="7">
        <v>10000</v>
      </c>
      <c r="C5" s="6"/>
      <c r="D5" s="11">
        <f>B5*0.1</f>
        <v>1000</v>
      </c>
      <c r="E5" s="6"/>
      <c r="F5" s="11">
        <f>B5*0.9</f>
        <v>9000</v>
      </c>
      <c r="G5" s="6"/>
      <c r="H5" s="6"/>
      <c r="I5" s="6"/>
      <c r="J5" s="6"/>
      <c r="K5" s="6"/>
    </row>
    <row r="6" spans="1:11" ht="21">
      <c r="A6" s="5" t="s">
        <v>16</v>
      </c>
      <c r="B6" s="7">
        <v>1000</v>
      </c>
      <c r="C6" s="6"/>
      <c r="D6" s="6"/>
      <c r="E6" s="11">
        <f>B6*0.4</f>
        <v>400</v>
      </c>
      <c r="F6" s="11"/>
      <c r="G6" s="11"/>
      <c r="H6" s="11">
        <f>B6*0.3</f>
        <v>300</v>
      </c>
      <c r="I6" s="11">
        <f>B6*0.3</f>
        <v>300</v>
      </c>
      <c r="J6" s="6"/>
      <c r="K6" s="6"/>
    </row>
    <row r="7" spans="1:11" ht="21">
      <c r="A7" s="5" t="s">
        <v>17</v>
      </c>
      <c r="B7" s="7" t="s">
        <v>32</v>
      </c>
      <c r="C7" s="6"/>
      <c r="D7" s="6"/>
      <c r="E7" s="6"/>
      <c r="F7" s="6"/>
      <c r="G7" s="6"/>
      <c r="H7" s="6"/>
      <c r="I7" s="6"/>
      <c r="J7" s="6"/>
      <c r="K7" s="6"/>
    </row>
    <row r="8" spans="1:12" ht="21">
      <c r="A8" s="5" t="s">
        <v>18</v>
      </c>
      <c r="B8" s="7">
        <v>3000</v>
      </c>
      <c r="C8" s="6"/>
      <c r="D8" s="6"/>
      <c r="E8" s="11">
        <f>B8*0.5</f>
        <v>1500</v>
      </c>
      <c r="F8" s="11"/>
      <c r="G8" s="11">
        <v>500</v>
      </c>
      <c r="H8" s="11">
        <v>500</v>
      </c>
      <c r="I8" s="11">
        <v>250</v>
      </c>
      <c r="J8" s="11">
        <v>250</v>
      </c>
      <c r="K8" s="6"/>
      <c r="L8" s="13"/>
    </row>
    <row r="9" spans="1:11" ht="21">
      <c r="A9" s="5" t="s">
        <v>19</v>
      </c>
      <c r="B9" s="7">
        <v>2000</v>
      </c>
      <c r="C9" s="6"/>
      <c r="D9" s="6"/>
      <c r="E9" s="6"/>
      <c r="F9" s="11">
        <f>B9*0.7</f>
        <v>1400</v>
      </c>
      <c r="G9" s="11">
        <f>B9*0.3</f>
        <v>600</v>
      </c>
      <c r="H9" s="6"/>
      <c r="I9" s="6"/>
      <c r="J9" s="6"/>
      <c r="K9" s="6"/>
    </row>
    <row r="10" spans="1:11" ht="21">
      <c r="A10" s="5" t="s">
        <v>20</v>
      </c>
      <c r="B10" s="7">
        <v>200</v>
      </c>
      <c r="C10" s="6"/>
      <c r="D10" s="6"/>
      <c r="E10" s="6"/>
      <c r="F10" s="6"/>
      <c r="G10" s="6"/>
      <c r="H10" s="6"/>
      <c r="I10" s="6"/>
      <c r="J10" s="6"/>
      <c r="K10" s="9">
        <f>B10</f>
        <v>200</v>
      </c>
    </row>
    <row r="11" spans="1:11" ht="21">
      <c r="A11" s="5" t="s">
        <v>21</v>
      </c>
      <c r="B11" s="7">
        <v>600</v>
      </c>
      <c r="C11" s="6"/>
      <c r="D11" s="6"/>
      <c r="E11" s="6"/>
      <c r="F11" s="6"/>
      <c r="G11" s="6"/>
      <c r="H11" s="6"/>
      <c r="I11" s="6"/>
      <c r="J11" s="6"/>
      <c r="K11" s="9">
        <f>B11</f>
        <v>600</v>
      </c>
    </row>
    <row r="12" spans="1:11" ht="21">
      <c r="A12" s="5" t="s">
        <v>22</v>
      </c>
      <c r="B12" s="7">
        <v>600</v>
      </c>
      <c r="C12" s="6"/>
      <c r="D12" s="6"/>
      <c r="E12" s="6"/>
      <c r="F12" s="6"/>
      <c r="G12" s="6"/>
      <c r="H12" s="6"/>
      <c r="I12" s="6"/>
      <c r="J12" s="6"/>
      <c r="K12" s="9">
        <f>B12</f>
        <v>600</v>
      </c>
    </row>
    <row r="13" spans="1:11" ht="21">
      <c r="A13" s="5" t="s">
        <v>23</v>
      </c>
      <c r="B13" s="7">
        <v>2000</v>
      </c>
      <c r="C13" s="6"/>
      <c r="D13" s="6"/>
      <c r="E13" s="6"/>
      <c r="F13" s="6"/>
      <c r="G13" s="6"/>
      <c r="H13" s="6"/>
      <c r="I13" s="6"/>
      <c r="J13" s="9">
        <f>B13</f>
        <v>2000</v>
      </c>
      <c r="K13" s="6"/>
    </row>
    <row r="14" spans="1:11" ht="21">
      <c r="A14" s="5" t="s">
        <v>24</v>
      </c>
      <c r="B14" s="7">
        <v>800</v>
      </c>
      <c r="C14" s="6"/>
      <c r="D14" s="6"/>
      <c r="E14" s="9">
        <f>B14</f>
        <v>800</v>
      </c>
      <c r="F14" s="6"/>
      <c r="G14" s="6"/>
      <c r="H14" s="6"/>
      <c r="I14" s="6"/>
      <c r="J14" s="6"/>
      <c r="K14" s="6"/>
    </row>
    <row r="15" spans="1:11" ht="21">
      <c r="A15" s="5" t="s">
        <v>25</v>
      </c>
      <c r="B15" s="7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21">
      <c r="A16" s="5" t="s">
        <v>26</v>
      </c>
      <c r="B16" s="7">
        <v>0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1">
      <c r="A17" s="5" t="s">
        <v>27</v>
      </c>
      <c r="B17" s="7">
        <v>50</v>
      </c>
      <c r="C17" s="6"/>
      <c r="D17" s="6"/>
      <c r="E17" s="6"/>
      <c r="F17" s="6"/>
      <c r="G17" s="6"/>
      <c r="H17" s="6"/>
      <c r="I17" s="6"/>
      <c r="J17" s="6"/>
      <c r="K17" s="9">
        <f>B17</f>
        <v>50</v>
      </c>
    </row>
    <row r="18" spans="1:11" ht="21">
      <c r="A18" s="5" t="s">
        <v>28</v>
      </c>
      <c r="B18" s="7">
        <v>100</v>
      </c>
      <c r="C18" s="6"/>
      <c r="D18" s="6"/>
      <c r="E18" s="6"/>
      <c r="F18" s="6"/>
      <c r="G18" s="6"/>
      <c r="H18" s="6"/>
      <c r="I18" s="6"/>
      <c r="J18" s="6"/>
      <c r="K18" s="9">
        <f>B18</f>
        <v>100</v>
      </c>
    </row>
    <row r="19" spans="1:11" ht="21">
      <c r="A19" s="5" t="s">
        <v>29</v>
      </c>
      <c r="B19" s="7">
        <f>B20*0.2</f>
        <v>10000</v>
      </c>
      <c r="C19" s="9"/>
      <c r="D19" s="6"/>
      <c r="E19" s="11">
        <f>B19*0.1</f>
        <v>1000</v>
      </c>
      <c r="F19" s="11">
        <f>B19*0.8</f>
        <v>8000</v>
      </c>
      <c r="G19" s="11"/>
      <c r="H19" s="11">
        <f>B19*0.1</f>
        <v>1000</v>
      </c>
      <c r="I19" s="6"/>
      <c r="J19" s="6"/>
      <c r="K19" s="6"/>
    </row>
    <row r="20" spans="1:12" ht="21">
      <c r="A20" s="3" t="s">
        <v>30</v>
      </c>
      <c r="B20" s="8">
        <v>50000</v>
      </c>
      <c r="C20" s="10"/>
      <c r="D20" s="12">
        <f aca="true" t="shared" si="0" ref="D20:K20">SUM(D4:D19)</f>
        <v>2965</v>
      </c>
      <c r="E20" s="12">
        <f t="shared" si="0"/>
        <v>3700</v>
      </c>
      <c r="F20" s="12">
        <f t="shared" si="0"/>
        <v>36085</v>
      </c>
      <c r="G20" s="12">
        <f t="shared" si="0"/>
        <v>1100</v>
      </c>
      <c r="H20" s="12">
        <f t="shared" si="0"/>
        <v>1800</v>
      </c>
      <c r="I20" s="12">
        <f t="shared" si="0"/>
        <v>550</v>
      </c>
      <c r="J20" s="12">
        <f t="shared" si="0"/>
        <v>2250</v>
      </c>
      <c r="K20" s="12">
        <f t="shared" si="0"/>
        <v>1550</v>
      </c>
      <c r="L20" s="13"/>
    </row>
    <row r="21" spans="1:11" ht="21">
      <c r="A21" s="5" t="s">
        <v>31</v>
      </c>
      <c r="B21" s="7">
        <v>10000</v>
      </c>
      <c r="C21" s="6"/>
      <c r="D21" s="6"/>
      <c r="E21" s="6"/>
      <c r="F21" s="11">
        <f>B21*0.6</f>
        <v>6000</v>
      </c>
      <c r="G21" s="11">
        <f>B21*0.1</f>
        <v>1000</v>
      </c>
      <c r="H21" s="11">
        <f>B21*0.1</f>
        <v>1000</v>
      </c>
      <c r="I21" s="11">
        <f>B21*0.1</f>
        <v>1000</v>
      </c>
      <c r="J21" s="11">
        <f>B21*0.1</f>
        <v>1000</v>
      </c>
      <c r="K21" s="6"/>
    </row>
  </sheetData>
  <mergeCells count="3">
    <mergeCell ref="A1:K1"/>
    <mergeCell ref="B2:C2"/>
    <mergeCell ref="D2:K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7">
      <selection activeCell="A23" sqref="A23"/>
    </sheetView>
  </sheetViews>
  <sheetFormatPr defaultColWidth="9.140625" defaultRowHeight="12.75"/>
  <cols>
    <col min="1" max="1" width="74.28125" style="1" customWidth="1"/>
    <col min="2" max="2" width="9.8515625" style="1" bestFit="1" customWidth="1"/>
    <col min="3" max="4" width="9.00390625" style="1" bestFit="1" customWidth="1"/>
    <col min="5" max="5" width="30.421875" style="1" bestFit="1" customWidth="1"/>
    <col min="6" max="16384" width="9.140625" style="1" customWidth="1"/>
  </cols>
  <sheetData>
    <row r="1" spans="1:5" ht="21">
      <c r="A1" s="38" t="s">
        <v>33</v>
      </c>
      <c r="B1" s="38"/>
      <c r="C1" s="38"/>
      <c r="D1" s="38"/>
      <c r="E1" s="38"/>
    </row>
    <row r="2" spans="1:5" ht="21">
      <c r="A2" s="38" t="s">
        <v>34</v>
      </c>
      <c r="B2" s="38"/>
      <c r="C2" s="38"/>
      <c r="D2" s="38"/>
      <c r="E2" s="38"/>
    </row>
    <row r="3" spans="1:5" ht="21">
      <c r="A3" s="3" t="s">
        <v>33</v>
      </c>
      <c r="B3" s="3" t="s">
        <v>38</v>
      </c>
      <c r="C3" s="3" t="s">
        <v>39</v>
      </c>
      <c r="D3" s="3" t="s">
        <v>40</v>
      </c>
      <c r="E3" s="3" t="s">
        <v>36</v>
      </c>
    </row>
    <row r="4" spans="1:5" ht="21">
      <c r="A4" s="4" t="s">
        <v>37</v>
      </c>
      <c r="B4" s="5"/>
      <c r="C4" s="5"/>
      <c r="D4" s="5"/>
      <c r="E4" s="5"/>
    </row>
    <row r="5" spans="1:5" ht="21">
      <c r="A5" s="5" t="s">
        <v>118</v>
      </c>
      <c r="B5" s="14">
        <f>25000*4*5</f>
        <v>500000</v>
      </c>
      <c r="C5" s="14">
        <f>25000*10*4</f>
        <v>1000000</v>
      </c>
      <c r="D5" s="14">
        <f>25000*15*4</f>
        <v>1500000</v>
      </c>
      <c r="E5" s="5"/>
    </row>
    <row r="6" spans="1:5" ht="21">
      <c r="A6" s="16" t="s">
        <v>41</v>
      </c>
      <c r="B6" s="17">
        <f>SUM(B5)</f>
        <v>500000</v>
      </c>
      <c r="C6" s="17">
        <f>SUM(C5)</f>
        <v>1000000</v>
      </c>
      <c r="D6" s="17">
        <f>SUM(D5)</f>
        <v>1500000</v>
      </c>
      <c r="E6" s="16"/>
    </row>
    <row r="7" spans="1:5" ht="21">
      <c r="A7" s="4" t="s">
        <v>42</v>
      </c>
      <c r="B7" s="5"/>
      <c r="C7" s="5"/>
      <c r="D7" s="5"/>
      <c r="E7" s="5"/>
    </row>
    <row r="8" spans="1:5" ht="21">
      <c r="A8" s="4" t="s">
        <v>43</v>
      </c>
      <c r="B8" s="5"/>
      <c r="C8" s="5"/>
      <c r="D8" s="5"/>
      <c r="E8" s="5"/>
    </row>
    <row r="9" spans="1:5" ht="21">
      <c r="A9" s="5" t="s">
        <v>44</v>
      </c>
      <c r="B9" s="14">
        <f>2*5*2965</f>
        <v>29650</v>
      </c>
      <c r="C9" s="14">
        <f>2*10*2965</f>
        <v>59300</v>
      </c>
      <c r="D9" s="14">
        <f>2*15*2965</f>
        <v>88950</v>
      </c>
      <c r="E9" s="5"/>
    </row>
    <row r="10" spans="1:5" ht="21">
      <c r="A10" s="5" t="s">
        <v>45</v>
      </c>
      <c r="B10" s="14">
        <f>2*5*3700</f>
        <v>37000</v>
      </c>
      <c r="C10" s="14">
        <f>2*10*3700</f>
        <v>74000</v>
      </c>
      <c r="D10" s="14">
        <f>2*15*3700</f>
        <v>111000</v>
      </c>
      <c r="E10" s="5"/>
    </row>
    <row r="11" spans="1:5" ht="21">
      <c r="A11" s="5" t="s">
        <v>46</v>
      </c>
      <c r="B11" s="15">
        <f>2*5*36085</f>
        <v>360850</v>
      </c>
      <c r="C11" s="15">
        <f>2*10*36085</f>
        <v>721700</v>
      </c>
      <c r="D11" s="15">
        <f>2*15*36085</f>
        <v>1082550</v>
      </c>
      <c r="E11" s="5"/>
    </row>
    <row r="12" spans="1:5" ht="21">
      <c r="A12" s="5" t="s">
        <v>47</v>
      </c>
      <c r="B12" s="14">
        <f>2*5*1100</f>
        <v>11000</v>
      </c>
      <c r="C12" s="14">
        <f>2*10*1100</f>
        <v>22000</v>
      </c>
      <c r="D12" s="14">
        <f>2*15*1100</f>
        <v>33000</v>
      </c>
      <c r="E12" s="5"/>
    </row>
    <row r="13" spans="1:5" ht="21">
      <c r="A13" s="5" t="s">
        <v>48</v>
      </c>
      <c r="B13" s="14">
        <f>2*5*1800</f>
        <v>18000</v>
      </c>
      <c r="C13" s="14">
        <f>2*10*1800</f>
        <v>36000</v>
      </c>
      <c r="D13" s="14">
        <f>2*15*1800</f>
        <v>54000</v>
      </c>
      <c r="E13" s="5"/>
    </row>
    <row r="14" spans="1:5" ht="21">
      <c r="A14" s="5" t="s">
        <v>49</v>
      </c>
      <c r="B14" s="14">
        <f>2*5*550</f>
        <v>5500</v>
      </c>
      <c r="C14" s="14">
        <f>2*10*550</f>
        <v>11000</v>
      </c>
      <c r="D14" s="14">
        <f>2*15*550</f>
        <v>16500</v>
      </c>
      <c r="E14" s="5"/>
    </row>
    <row r="15" spans="1:5" ht="21">
      <c r="A15" s="5" t="s">
        <v>50</v>
      </c>
      <c r="B15" s="14">
        <f>2*5*2250</f>
        <v>22500</v>
      </c>
      <c r="C15" s="14">
        <f>2*10*2250</f>
        <v>45000</v>
      </c>
      <c r="D15" s="14">
        <f>2*15*2250</f>
        <v>67500</v>
      </c>
      <c r="E15" s="5"/>
    </row>
    <row r="16" spans="1:5" ht="21">
      <c r="A16" s="5" t="s">
        <v>51</v>
      </c>
      <c r="B16" s="14">
        <f>2*5*200</f>
        <v>2000</v>
      </c>
      <c r="C16" s="14">
        <f>2*10*200</f>
        <v>4000</v>
      </c>
      <c r="D16" s="14">
        <f>2*15*200</f>
        <v>6000</v>
      </c>
      <c r="E16" s="5"/>
    </row>
    <row r="17" spans="1:5" ht="21">
      <c r="A17" s="5" t="s">
        <v>52</v>
      </c>
      <c r="B17" s="14">
        <f>2*5*600</f>
        <v>6000</v>
      </c>
      <c r="C17" s="14">
        <f>2*10*600</f>
        <v>12000</v>
      </c>
      <c r="D17" s="14">
        <f>2*15*600</f>
        <v>18000</v>
      </c>
      <c r="E17" s="5"/>
    </row>
    <row r="18" spans="1:5" ht="21">
      <c r="A18" s="5" t="s">
        <v>53</v>
      </c>
      <c r="B18" s="14">
        <f>2*5*600</f>
        <v>6000</v>
      </c>
      <c r="C18" s="14">
        <f>2*10*600</f>
        <v>12000</v>
      </c>
      <c r="D18" s="14">
        <f>2*15*600</f>
        <v>18000</v>
      </c>
      <c r="E18" s="5"/>
    </row>
    <row r="19" spans="1:5" ht="21">
      <c r="A19" s="5" t="s">
        <v>54</v>
      </c>
      <c r="B19" s="14">
        <f>2*5*50</f>
        <v>500</v>
      </c>
      <c r="C19" s="14">
        <f>2*10*50</f>
        <v>1000</v>
      </c>
      <c r="D19" s="14">
        <f>2*15*50</f>
        <v>1500</v>
      </c>
      <c r="E19" s="5"/>
    </row>
    <row r="20" spans="1:5" ht="21">
      <c r="A20" s="5" t="s">
        <v>55</v>
      </c>
      <c r="B20" s="14">
        <f>2*5*100</f>
        <v>1000</v>
      </c>
      <c r="C20" s="14">
        <f>2*10*100</f>
        <v>2000</v>
      </c>
      <c r="D20" s="14">
        <f>2*15*100</f>
        <v>3000</v>
      </c>
      <c r="E20" s="5"/>
    </row>
    <row r="21" spans="1:5" ht="21">
      <c r="A21" s="16" t="s">
        <v>56</v>
      </c>
      <c r="B21" s="17">
        <f>SUM(B9:B20)</f>
        <v>500000</v>
      </c>
      <c r="C21" s="17">
        <f>SUM(C9:C20)</f>
        <v>1000000</v>
      </c>
      <c r="D21" s="17">
        <f>SUM(D9:D20)</f>
        <v>1500000</v>
      </c>
      <c r="E21" s="16"/>
    </row>
    <row r="24" spans="1:5" ht="21">
      <c r="A24" s="3" t="s">
        <v>33</v>
      </c>
      <c r="B24" s="3" t="s">
        <v>38</v>
      </c>
      <c r="C24" s="3" t="s">
        <v>39</v>
      </c>
      <c r="D24" s="3" t="s">
        <v>40</v>
      </c>
      <c r="E24" s="3" t="s">
        <v>36</v>
      </c>
    </row>
    <row r="25" spans="1:5" ht="21">
      <c r="A25" s="4" t="s">
        <v>57</v>
      </c>
      <c r="B25" s="15">
        <f>2*5*36085</f>
        <v>360850</v>
      </c>
      <c r="C25" s="15">
        <f>2*10*36085</f>
        <v>721700</v>
      </c>
      <c r="D25" s="15">
        <f>2*15*36085</f>
        <v>1082550</v>
      </c>
      <c r="E25" s="5"/>
    </row>
    <row r="26" spans="1:5" ht="21">
      <c r="A26" s="4" t="s">
        <v>58</v>
      </c>
      <c r="B26" s="5"/>
      <c r="C26" s="5"/>
      <c r="D26" s="5"/>
      <c r="E26" s="5"/>
    </row>
    <row r="27" spans="1:5" ht="21">
      <c r="A27" s="5" t="s">
        <v>59</v>
      </c>
      <c r="B27" s="14">
        <f>1620*5</f>
        <v>8100</v>
      </c>
      <c r="C27" s="14">
        <f>1620*10</f>
        <v>16200</v>
      </c>
      <c r="D27" s="14">
        <f>1620*15</f>
        <v>24300</v>
      </c>
      <c r="E27" s="5" t="s">
        <v>61</v>
      </c>
    </row>
    <row r="28" spans="1:5" ht="21">
      <c r="A28" s="5"/>
      <c r="B28" s="5"/>
      <c r="C28" s="5"/>
      <c r="D28" s="5"/>
      <c r="E28" s="5" t="s">
        <v>62</v>
      </c>
    </row>
    <row r="29" spans="1:5" ht="21">
      <c r="A29" s="5" t="s">
        <v>60</v>
      </c>
      <c r="B29" s="14">
        <f>3300*5</f>
        <v>16500</v>
      </c>
      <c r="C29" s="14">
        <f>3300*10</f>
        <v>33000</v>
      </c>
      <c r="D29" s="14">
        <f>3300*15</f>
        <v>49500</v>
      </c>
      <c r="E29" s="5" t="s">
        <v>63</v>
      </c>
    </row>
    <row r="30" spans="1:5" ht="21">
      <c r="A30" s="5"/>
      <c r="B30" s="5"/>
      <c r="C30" s="5"/>
      <c r="D30" s="5"/>
      <c r="E30" s="5" t="s">
        <v>64</v>
      </c>
    </row>
    <row r="31" spans="1:5" ht="21">
      <c r="A31" s="5"/>
      <c r="B31" s="5"/>
      <c r="C31" s="5"/>
      <c r="D31" s="5"/>
      <c r="E31" s="5" t="s">
        <v>65</v>
      </c>
    </row>
    <row r="32" spans="1:5" ht="21">
      <c r="A32" s="5" t="s">
        <v>66</v>
      </c>
      <c r="B32" s="14">
        <f>1620*5</f>
        <v>8100</v>
      </c>
      <c r="C32" s="14">
        <f>1620*10</f>
        <v>16200</v>
      </c>
      <c r="D32" s="14">
        <f>1620*15</f>
        <v>24300</v>
      </c>
      <c r="E32" s="5" t="s">
        <v>61</v>
      </c>
    </row>
    <row r="33" spans="1:5" ht="21">
      <c r="A33" s="5"/>
      <c r="B33" s="5"/>
      <c r="C33" s="5"/>
      <c r="D33" s="5"/>
      <c r="E33" s="5" t="s">
        <v>62</v>
      </c>
    </row>
    <row r="34" spans="1:5" ht="21">
      <c r="A34" s="4" t="s">
        <v>67</v>
      </c>
      <c r="B34" s="5"/>
      <c r="C34" s="5"/>
      <c r="D34" s="5"/>
      <c r="E34" s="5"/>
    </row>
    <row r="35" spans="1:5" ht="21">
      <c r="A35" s="5" t="s">
        <v>68</v>
      </c>
      <c r="B35" s="5"/>
      <c r="C35" s="5"/>
      <c r="D35" s="5"/>
      <c r="E35" s="5"/>
    </row>
    <row r="36" spans="1:5" ht="21">
      <c r="A36" s="5" t="s">
        <v>69</v>
      </c>
      <c r="B36" s="5"/>
      <c r="C36" s="5"/>
      <c r="D36" s="5"/>
      <c r="E36" s="5"/>
    </row>
    <row r="37" spans="1:5" ht="21">
      <c r="A37" s="5" t="s">
        <v>70</v>
      </c>
      <c r="B37" s="14">
        <f>1000*5</f>
        <v>5000</v>
      </c>
      <c r="C37" s="14">
        <f>1000*10</f>
        <v>10000</v>
      </c>
      <c r="D37" s="14">
        <f>1000*15</f>
        <v>15000</v>
      </c>
      <c r="E37" s="5" t="s">
        <v>91</v>
      </c>
    </row>
    <row r="38" spans="1:5" ht="21">
      <c r="A38" s="5" t="s">
        <v>71</v>
      </c>
      <c r="B38" s="14">
        <f>7100*5</f>
        <v>35500</v>
      </c>
      <c r="C38" s="14">
        <f>7100*10</f>
        <v>71000</v>
      </c>
      <c r="D38" s="14">
        <f>7100*15</f>
        <v>106500</v>
      </c>
      <c r="E38" s="5" t="s">
        <v>92</v>
      </c>
    </row>
    <row r="39" spans="1:5" ht="21">
      <c r="A39" s="5" t="s">
        <v>72</v>
      </c>
      <c r="B39" s="14">
        <f>2500*5</f>
        <v>12500</v>
      </c>
      <c r="C39" s="14">
        <f>2500*10</f>
        <v>25000</v>
      </c>
      <c r="D39" s="14">
        <f>2500*15</f>
        <v>37500</v>
      </c>
      <c r="E39" s="5" t="s">
        <v>93</v>
      </c>
    </row>
    <row r="40" spans="1:5" ht="21">
      <c r="A40" s="4" t="s">
        <v>73</v>
      </c>
      <c r="B40" s="5"/>
      <c r="C40" s="5"/>
      <c r="D40" s="5"/>
      <c r="E40" s="5"/>
    </row>
    <row r="41" spans="1:5" ht="21">
      <c r="A41" s="5" t="s">
        <v>74</v>
      </c>
      <c r="B41" s="14">
        <f>5000*4</f>
        <v>20000</v>
      </c>
      <c r="C41" s="14">
        <f>5000*4</f>
        <v>20000</v>
      </c>
      <c r="D41" s="14">
        <f>5000*4</f>
        <v>20000</v>
      </c>
      <c r="E41" s="5" t="s">
        <v>94</v>
      </c>
    </row>
    <row r="42" spans="1:5" ht="21">
      <c r="A42" s="5" t="s">
        <v>75</v>
      </c>
      <c r="B42" s="5"/>
      <c r="C42" s="5"/>
      <c r="D42" s="5"/>
      <c r="E42" s="5"/>
    </row>
    <row r="43" spans="1:5" ht="21">
      <c r="A43" s="5" t="s">
        <v>76</v>
      </c>
      <c r="B43" s="14">
        <f>5000*4</f>
        <v>20000</v>
      </c>
      <c r="C43" s="14">
        <f>5000*4</f>
        <v>20000</v>
      </c>
      <c r="D43" s="14">
        <f>5000*4</f>
        <v>20000</v>
      </c>
      <c r="E43" s="5" t="s">
        <v>94</v>
      </c>
    </row>
    <row r="44" spans="1:5" ht="21">
      <c r="A44" s="5" t="s">
        <v>77</v>
      </c>
      <c r="B44" s="14">
        <v>10000</v>
      </c>
      <c r="C44" s="14">
        <v>10000</v>
      </c>
      <c r="D44" s="14">
        <v>10000</v>
      </c>
      <c r="E44" s="5"/>
    </row>
    <row r="45" spans="1:5" ht="21">
      <c r="A45" s="18" t="s">
        <v>95</v>
      </c>
      <c r="B45" s="10">
        <f>SUM(B27:B44)</f>
        <v>135700</v>
      </c>
      <c r="C45" s="10">
        <f>SUM(C27:C44)</f>
        <v>221400</v>
      </c>
      <c r="D45" s="10">
        <f>SUM(D27:D44)</f>
        <v>307100</v>
      </c>
      <c r="E45" s="5"/>
    </row>
    <row r="46" spans="1:5" ht="21">
      <c r="A46"/>
      <c r="B46"/>
      <c r="C46"/>
      <c r="D46"/>
      <c r="E46"/>
    </row>
    <row r="47" spans="1:5" ht="21">
      <c r="A47" s="3" t="s">
        <v>33</v>
      </c>
      <c r="B47" s="3" t="s">
        <v>38</v>
      </c>
      <c r="C47" s="3" t="s">
        <v>39</v>
      </c>
      <c r="D47" s="3" t="s">
        <v>40</v>
      </c>
      <c r="E47" s="3" t="s">
        <v>36</v>
      </c>
    </row>
    <row r="48" spans="1:5" ht="21">
      <c r="A48" s="4" t="s">
        <v>78</v>
      </c>
      <c r="B48" s="6"/>
      <c r="C48" s="6"/>
      <c r="D48" s="6"/>
      <c r="E48" s="5"/>
    </row>
    <row r="49" spans="1:5" ht="21">
      <c r="A49" s="5" t="s">
        <v>79</v>
      </c>
      <c r="B49" s="6"/>
      <c r="C49" s="6"/>
      <c r="D49" s="6"/>
      <c r="E49" s="5"/>
    </row>
    <row r="50" spans="1:5" ht="21">
      <c r="A50" s="5" t="s">
        <v>80</v>
      </c>
      <c r="B50" s="7">
        <f>5000*4</f>
        <v>20000</v>
      </c>
      <c r="C50" s="7">
        <f>5000*4</f>
        <v>20000</v>
      </c>
      <c r="D50" s="7">
        <f>5000*4</f>
        <v>20000</v>
      </c>
      <c r="E50" s="5" t="s">
        <v>94</v>
      </c>
    </row>
    <row r="51" spans="1:5" ht="21">
      <c r="A51" s="5"/>
      <c r="B51" s="6"/>
      <c r="C51" s="6"/>
      <c r="D51" s="6"/>
      <c r="E51" s="5"/>
    </row>
    <row r="52" spans="1:5" ht="21">
      <c r="A52" s="4" t="s">
        <v>81</v>
      </c>
      <c r="B52" s="6"/>
      <c r="C52" s="6"/>
      <c r="D52" s="6"/>
      <c r="E52" s="5"/>
    </row>
    <row r="53" spans="1:5" ht="21">
      <c r="A53" s="5" t="s">
        <v>82</v>
      </c>
      <c r="B53" s="6"/>
      <c r="C53" s="6"/>
      <c r="D53" s="6"/>
      <c r="E53" s="5"/>
    </row>
    <row r="54" spans="1:5" ht="21">
      <c r="A54" s="5"/>
      <c r="B54" s="6"/>
      <c r="C54" s="6"/>
      <c r="D54" s="6"/>
      <c r="E54" s="5"/>
    </row>
    <row r="55" spans="1:5" ht="21">
      <c r="A55" s="4" t="s">
        <v>83</v>
      </c>
      <c r="B55" s="6"/>
      <c r="C55" s="6"/>
      <c r="D55" s="6"/>
      <c r="E55" s="5"/>
    </row>
    <row r="56" spans="1:5" ht="21">
      <c r="A56" s="5" t="s">
        <v>84</v>
      </c>
      <c r="B56" s="7">
        <f>50000*4</f>
        <v>200000</v>
      </c>
      <c r="C56" s="7">
        <f>50000*4</f>
        <v>200000</v>
      </c>
      <c r="D56" s="7">
        <f>50000*4</f>
        <v>200000</v>
      </c>
      <c r="E56" s="5" t="s">
        <v>96</v>
      </c>
    </row>
    <row r="57" spans="1:5" ht="21">
      <c r="A57" s="5" t="s">
        <v>85</v>
      </c>
      <c r="B57" s="7">
        <f>30000*4</f>
        <v>120000</v>
      </c>
      <c r="C57" s="7">
        <f>30000*4</f>
        <v>120000</v>
      </c>
      <c r="D57" s="7">
        <f>30000*4</f>
        <v>120000</v>
      </c>
      <c r="E57" s="5" t="s">
        <v>97</v>
      </c>
    </row>
    <row r="58" spans="1:5" ht="21">
      <c r="A58" s="5" t="s">
        <v>86</v>
      </c>
      <c r="B58" s="7">
        <f>25000*4</f>
        <v>100000</v>
      </c>
      <c r="C58" s="7">
        <f>25000*4</f>
        <v>100000</v>
      </c>
      <c r="D58" s="7">
        <f>25000*4</f>
        <v>100000</v>
      </c>
      <c r="E58" s="5" t="s">
        <v>98</v>
      </c>
    </row>
    <row r="59" spans="1:5" ht="21">
      <c r="A59" s="5" t="s">
        <v>87</v>
      </c>
      <c r="B59" s="7">
        <f>20000*4</f>
        <v>80000</v>
      </c>
      <c r="C59" s="7">
        <f>20000*4</f>
        <v>80000</v>
      </c>
      <c r="D59" s="7">
        <f>20000*4</f>
        <v>80000</v>
      </c>
      <c r="E59" s="5" t="s">
        <v>99</v>
      </c>
    </row>
    <row r="60" spans="1:5" ht="21">
      <c r="A60" s="5" t="s">
        <v>88</v>
      </c>
      <c r="B60" s="7">
        <f>12000*4</f>
        <v>48000</v>
      </c>
      <c r="C60" s="7">
        <f>12000*4</f>
        <v>48000</v>
      </c>
      <c r="D60" s="7">
        <f>12000*4</f>
        <v>48000</v>
      </c>
      <c r="E60" s="5" t="s">
        <v>100</v>
      </c>
    </row>
    <row r="61" spans="1:5" ht="21">
      <c r="A61" s="5" t="s">
        <v>89</v>
      </c>
      <c r="B61" s="7">
        <f>20000*4</f>
        <v>80000</v>
      </c>
      <c r="C61" s="7">
        <f>20000*4</f>
        <v>80000</v>
      </c>
      <c r="D61" s="7">
        <f>20000*4</f>
        <v>80000</v>
      </c>
      <c r="E61" s="5" t="s">
        <v>99</v>
      </c>
    </row>
    <row r="62" spans="1:5" ht="21">
      <c r="A62" s="3" t="s">
        <v>101</v>
      </c>
      <c r="B62" s="10">
        <f>SUM(B56:B61,B50,B45)</f>
        <v>783700</v>
      </c>
      <c r="C62" s="10">
        <f>SUM(C56:C61,C50,C45)</f>
        <v>869400</v>
      </c>
      <c r="D62" s="10">
        <f>SUM(D56:D61,D50,D45)</f>
        <v>955100</v>
      </c>
      <c r="E62" s="5"/>
    </row>
    <row r="63" spans="1:5" ht="21">
      <c r="A63" s="3" t="s">
        <v>102</v>
      </c>
      <c r="B63" s="10">
        <f>B25-B62</f>
        <v>-422850</v>
      </c>
      <c r="C63" s="10">
        <f>C25-C62</f>
        <v>-147700</v>
      </c>
      <c r="D63" s="10">
        <f>D25-D62</f>
        <v>127450</v>
      </c>
      <c r="E63" s="5" t="s">
        <v>103</v>
      </c>
    </row>
    <row r="64" spans="1:5" ht="21">
      <c r="A64" s="3" t="s">
        <v>90</v>
      </c>
      <c r="B64" s="10">
        <f>B62/4/5</f>
        <v>39185</v>
      </c>
      <c r="C64" s="10">
        <f>C62/4/10</f>
        <v>21735</v>
      </c>
      <c r="D64" s="10">
        <f>D62/4/15</f>
        <v>15918.333333333334</v>
      </c>
      <c r="E64" s="5" t="s">
        <v>119</v>
      </c>
    </row>
  </sheetData>
  <mergeCells count="2">
    <mergeCell ref="A1:E1"/>
    <mergeCell ref="A2:E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74.28125" style="1" customWidth="1"/>
    <col min="2" max="2" width="9.8515625" style="1" bestFit="1" customWidth="1"/>
    <col min="3" max="4" width="9.00390625" style="1" bestFit="1" customWidth="1"/>
    <col min="5" max="5" width="30.421875" style="1" bestFit="1" customWidth="1"/>
    <col min="6" max="16384" width="9.140625" style="1" customWidth="1"/>
  </cols>
  <sheetData>
    <row r="1" ht="29.25">
      <c r="A1" s="1" t="s">
        <v>167</v>
      </c>
    </row>
    <row r="2" spans="1:5" ht="21">
      <c r="A2" s="38" t="s">
        <v>33</v>
      </c>
      <c r="B2" s="38"/>
      <c r="C2" s="38"/>
      <c r="D2" s="38"/>
      <c r="E2" s="38"/>
    </row>
    <row r="3" spans="1:5" ht="21">
      <c r="A3" s="38" t="s">
        <v>34</v>
      </c>
      <c r="B3" s="38"/>
      <c r="C3" s="38"/>
      <c r="D3" s="38"/>
      <c r="E3" s="38"/>
    </row>
    <row r="4" spans="1:5" ht="21">
      <c r="A4" s="3" t="s">
        <v>33</v>
      </c>
      <c r="B4" s="3" t="s">
        <v>38</v>
      </c>
      <c r="C4" s="3" t="s">
        <v>39</v>
      </c>
      <c r="D4" s="3" t="s">
        <v>40</v>
      </c>
      <c r="E4" s="3" t="s">
        <v>36</v>
      </c>
    </row>
    <row r="5" spans="1:5" ht="21">
      <c r="A5" s="23" t="s">
        <v>37</v>
      </c>
      <c r="B5" s="24"/>
      <c r="C5" s="24"/>
      <c r="D5" s="24"/>
      <c r="E5" s="24"/>
    </row>
    <row r="6" spans="1:5" ht="21">
      <c r="A6" s="21" t="s">
        <v>132</v>
      </c>
      <c r="B6" s="22">
        <f>25000*4*5</f>
        <v>500000</v>
      </c>
      <c r="C6" s="22">
        <f>25000*10*4</f>
        <v>1000000</v>
      </c>
      <c r="D6" s="22">
        <f>25000*15*4</f>
        <v>1500000</v>
      </c>
      <c r="E6" s="21"/>
    </row>
    <row r="7" spans="1:5" ht="21">
      <c r="A7" s="16" t="s">
        <v>41</v>
      </c>
      <c r="B7" s="17">
        <f>SUM(B6)</f>
        <v>500000</v>
      </c>
      <c r="C7" s="17">
        <f>SUM(C6)</f>
        <v>1000000</v>
      </c>
      <c r="D7" s="17">
        <f>SUM(D6)</f>
        <v>1500000</v>
      </c>
      <c r="E7" s="16"/>
    </row>
    <row r="8" spans="1:5" ht="21">
      <c r="A8" s="23" t="s">
        <v>42</v>
      </c>
      <c r="B8" s="24"/>
      <c r="C8" s="24"/>
      <c r="D8" s="24"/>
      <c r="E8" s="24"/>
    </row>
    <row r="9" spans="1:5" ht="21">
      <c r="A9" s="25" t="s">
        <v>43</v>
      </c>
      <c r="B9" s="26"/>
      <c r="C9" s="26"/>
      <c r="D9" s="26"/>
      <c r="E9" s="26"/>
    </row>
    <row r="10" spans="1:5" ht="21">
      <c r="A10" s="21" t="s">
        <v>155</v>
      </c>
      <c r="B10" s="22">
        <f>2*5*4070</f>
        <v>40700</v>
      </c>
      <c r="C10" s="22">
        <f>2*10*4070</f>
        <v>81400</v>
      </c>
      <c r="D10" s="22">
        <f>2*15*4070</f>
        <v>122100</v>
      </c>
      <c r="E10" s="21"/>
    </row>
    <row r="11" spans="1:5" ht="21">
      <c r="A11" s="5" t="s">
        <v>156</v>
      </c>
      <c r="B11" s="14">
        <f>5*(3560+3200)</f>
        <v>33800</v>
      </c>
      <c r="C11" s="14">
        <f>10*(3560+3200)</f>
        <v>67600</v>
      </c>
      <c r="D11" s="14">
        <f>15*(3560+3200)</f>
        <v>101400</v>
      </c>
      <c r="E11" s="5"/>
    </row>
    <row r="12" spans="1:5" ht="21">
      <c r="A12" s="4" t="s">
        <v>46</v>
      </c>
      <c r="B12" s="15">
        <f>5*(35285+36230)</f>
        <v>357575</v>
      </c>
      <c r="C12" s="15">
        <f>10*(35285+36230)</f>
        <v>715150</v>
      </c>
      <c r="D12" s="15">
        <f>15*(35285+36230)</f>
        <v>1072725</v>
      </c>
      <c r="E12" s="5"/>
    </row>
    <row r="13" spans="1:5" ht="21">
      <c r="A13" s="5" t="s">
        <v>47</v>
      </c>
      <c r="B13" s="14">
        <f>2*5*1100</f>
        <v>11000</v>
      </c>
      <c r="C13" s="14">
        <f>2*10*1100</f>
        <v>22000</v>
      </c>
      <c r="D13" s="14">
        <f>2*15*1100</f>
        <v>33000</v>
      </c>
      <c r="E13" s="5"/>
    </row>
    <row r="14" spans="1:5" ht="21">
      <c r="A14" s="5" t="s">
        <v>48</v>
      </c>
      <c r="B14" s="14">
        <f>5*(1670+1400)</f>
        <v>15350</v>
      </c>
      <c r="C14" s="14">
        <f>10*(1670+1400)</f>
        <v>30700</v>
      </c>
      <c r="D14" s="14">
        <f>15*(1670+1400)</f>
        <v>46050</v>
      </c>
      <c r="E14" s="5"/>
    </row>
    <row r="15" spans="1:5" ht="21">
      <c r="A15" s="5" t="s">
        <v>49</v>
      </c>
      <c r="B15" s="14">
        <f>5*(520+250)</f>
        <v>3850</v>
      </c>
      <c r="C15" s="14">
        <f>10*(520+250)</f>
        <v>7700</v>
      </c>
      <c r="D15" s="14">
        <f>15*(520+250)</f>
        <v>11550</v>
      </c>
      <c r="E15" s="5"/>
    </row>
    <row r="16" spans="1:5" ht="21">
      <c r="A16" s="5" t="s">
        <v>50</v>
      </c>
      <c r="B16" s="14">
        <f>2*5*2250</f>
        <v>22500</v>
      </c>
      <c r="C16" s="14">
        <f>2*10*2250</f>
        <v>45000</v>
      </c>
      <c r="D16" s="14">
        <f>2*15*2250</f>
        <v>67500</v>
      </c>
      <c r="E16" s="5"/>
    </row>
    <row r="17" spans="1:5" ht="21">
      <c r="A17" s="5" t="s">
        <v>51</v>
      </c>
      <c r="B17" s="14">
        <f>2*5*200</f>
        <v>2000</v>
      </c>
      <c r="C17" s="14">
        <f>2*10*200</f>
        <v>4000</v>
      </c>
      <c r="D17" s="14">
        <f>2*15*200</f>
        <v>6000</v>
      </c>
      <c r="E17" s="5"/>
    </row>
    <row r="18" spans="1:5" ht="21">
      <c r="A18" s="5" t="s">
        <v>52</v>
      </c>
      <c r="B18" s="14">
        <f>2*5*600</f>
        <v>6000</v>
      </c>
      <c r="C18" s="14">
        <f>2*10*600</f>
        <v>12000</v>
      </c>
      <c r="D18" s="14">
        <f>2*15*600</f>
        <v>18000</v>
      </c>
      <c r="E18" s="5"/>
    </row>
    <row r="19" spans="1:5" ht="21">
      <c r="A19" s="5" t="s">
        <v>53</v>
      </c>
      <c r="B19" s="14">
        <f>2*5*600</f>
        <v>6000</v>
      </c>
      <c r="C19" s="14">
        <f>2*10*600</f>
        <v>12000</v>
      </c>
      <c r="D19" s="14">
        <f>2*15*600</f>
        <v>18000</v>
      </c>
      <c r="E19" s="5"/>
    </row>
    <row r="20" spans="1:5" ht="21">
      <c r="A20" s="5" t="s">
        <v>54</v>
      </c>
      <c r="B20" s="14">
        <f>5*45</f>
        <v>225</v>
      </c>
      <c r="C20" s="14">
        <f>10*45</f>
        <v>450</v>
      </c>
      <c r="D20" s="14">
        <f>15*45</f>
        <v>675</v>
      </c>
      <c r="E20" s="5"/>
    </row>
    <row r="21" spans="1:5" ht="21">
      <c r="A21" s="5" t="s">
        <v>55</v>
      </c>
      <c r="B21" s="14">
        <f>2*5*100</f>
        <v>1000</v>
      </c>
      <c r="C21" s="14">
        <f>2*10*100</f>
        <v>2000</v>
      </c>
      <c r="D21" s="14">
        <f>2*15*100</f>
        <v>3000</v>
      </c>
      <c r="E21" s="5"/>
    </row>
    <row r="22" spans="1:5" ht="21">
      <c r="A22" s="16" t="s">
        <v>56</v>
      </c>
      <c r="B22" s="17">
        <f>SUM(B10:B21)</f>
        <v>500000</v>
      </c>
      <c r="C22" s="17">
        <f>SUM(C10:C21)</f>
        <v>1000000</v>
      </c>
      <c r="D22" s="17">
        <f>SUM(D10:D21)</f>
        <v>1500000</v>
      </c>
      <c r="E22" s="16"/>
    </row>
    <row r="25" spans="1:5" ht="21">
      <c r="A25" s="3" t="s">
        <v>33</v>
      </c>
      <c r="B25" s="3" t="s">
        <v>38</v>
      </c>
      <c r="C25" s="3" t="s">
        <v>39</v>
      </c>
      <c r="D25" s="3" t="s">
        <v>40</v>
      </c>
      <c r="E25" s="3" t="s">
        <v>36</v>
      </c>
    </row>
    <row r="26" spans="1:5" ht="21">
      <c r="A26" s="23" t="s">
        <v>57</v>
      </c>
      <c r="B26" s="27">
        <f>5*(35285+36230)</f>
        <v>357575</v>
      </c>
      <c r="C26" s="27">
        <f>10*(35285+36230)</f>
        <v>715150</v>
      </c>
      <c r="D26" s="27">
        <f>15*(35285+36230)</f>
        <v>1072725</v>
      </c>
      <c r="E26" s="24"/>
    </row>
    <row r="27" spans="1:5" ht="21">
      <c r="A27" s="25" t="s">
        <v>58</v>
      </c>
      <c r="B27" s="26"/>
      <c r="C27" s="26"/>
      <c r="D27" s="26"/>
      <c r="E27" s="26"/>
    </row>
    <row r="28" spans="1:5" ht="21">
      <c r="A28" s="26" t="s">
        <v>59</v>
      </c>
      <c r="B28" s="34">
        <f>SUM(B29:B31)</f>
        <v>8100</v>
      </c>
      <c r="C28" s="34">
        <f>SUM(C29:C31)</f>
        <v>16200</v>
      </c>
      <c r="D28" s="34">
        <f>SUM(D29:D31)</f>
        <v>24300</v>
      </c>
      <c r="E28" s="26"/>
    </row>
    <row r="29" spans="1:5" ht="21">
      <c r="A29" s="26" t="s">
        <v>143</v>
      </c>
      <c r="B29" s="28">
        <f>50*12*5</f>
        <v>3000</v>
      </c>
      <c r="C29" s="28">
        <f>50*12*10</f>
        <v>6000</v>
      </c>
      <c r="D29" s="28">
        <f>50*12*15</f>
        <v>9000</v>
      </c>
      <c r="E29" s="26"/>
    </row>
    <row r="30" spans="1:5" ht="21">
      <c r="A30" s="26" t="s">
        <v>144</v>
      </c>
      <c r="B30" s="28">
        <f>35*12*5</f>
        <v>2100</v>
      </c>
      <c r="C30" s="28">
        <f>35*12*10</f>
        <v>4200</v>
      </c>
      <c r="D30" s="28">
        <f>35*12*15</f>
        <v>6300</v>
      </c>
      <c r="E30" s="26"/>
    </row>
    <row r="31" spans="1:5" ht="21">
      <c r="A31" s="21" t="s">
        <v>145</v>
      </c>
      <c r="B31" s="28">
        <f>25*2*12*5</f>
        <v>3000</v>
      </c>
      <c r="C31" s="28">
        <f>25*2*12*10</f>
        <v>6000</v>
      </c>
      <c r="D31" s="28">
        <f>25*2*12*15</f>
        <v>9000</v>
      </c>
      <c r="E31" s="21"/>
    </row>
    <row r="32" spans="1:5" ht="21">
      <c r="A32" s="24" t="s">
        <v>60</v>
      </c>
      <c r="B32" s="27">
        <f>SUM(B33:B35)</f>
        <v>16500</v>
      </c>
      <c r="C32" s="27">
        <f>SUM(C33:C35)</f>
        <v>33000</v>
      </c>
      <c r="D32" s="27">
        <f>SUM(D33:D35)</f>
        <v>49500</v>
      </c>
      <c r="E32" s="24"/>
    </row>
    <row r="33" spans="1:5" ht="21">
      <c r="A33" s="26" t="s">
        <v>146</v>
      </c>
      <c r="B33" s="28">
        <f>100*12*5</f>
        <v>6000</v>
      </c>
      <c r="C33" s="28">
        <f>100*12*10</f>
        <v>12000</v>
      </c>
      <c r="D33" s="28">
        <f>100*12*15</f>
        <v>18000</v>
      </c>
      <c r="E33" s="26"/>
    </row>
    <row r="34" spans="1:5" ht="21">
      <c r="A34" s="26" t="s">
        <v>147</v>
      </c>
      <c r="B34" s="28">
        <f>75*12*5</f>
        <v>4500</v>
      </c>
      <c r="C34" s="28">
        <f>75*12*10</f>
        <v>9000</v>
      </c>
      <c r="D34" s="28">
        <f>75*12*15</f>
        <v>13500</v>
      </c>
      <c r="E34" s="26"/>
    </row>
    <row r="35" spans="1:5" ht="21">
      <c r="A35" s="21" t="s">
        <v>148</v>
      </c>
      <c r="B35" s="22">
        <f>50*2*12*5</f>
        <v>6000</v>
      </c>
      <c r="C35" s="22">
        <f>50*2*12*10</f>
        <v>12000</v>
      </c>
      <c r="D35" s="22">
        <f>50*2*12*15</f>
        <v>18000</v>
      </c>
      <c r="E35" s="21"/>
    </row>
    <row r="36" spans="1:5" ht="21">
      <c r="A36" s="23" t="s">
        <v>67</v>
      </c>
      <c r="B36" s="24"/>
      <c r="C36" s="24"/>
      <c r="D36" s="24"/>
      <c r="E36" s="24"/>
    </row>
    <row r="37" spans="1:5" ht="21">
      <c r="A37" s="21" t="s">
        <v>133</v>
      </c>
      <c r="B37" s="22">
        <f>1200*5</f>
        <v>6000</v>
      </c>
      <c r="C37" s="22">
        <f>1200*10</f>
        <v>12000</v>
      </c>
      <c r="D37" s="22">
        <f>1200*15</f>
        <v>18000</v>
      </c>
      <c r="E37" s="21" t="s">
        <v>158</v>
      </c>
    </row>
    <row r="38" spans="1:5" ht="21">
      <c r="A38" s="5" t="s">
        <v>134</v>
      </c>
      <c r="B38" s="14">
        <f>7500*5</f>
        <v>37500</v>
      </c>
      <c r="C38" s="14">
        <f>7500*10</f>
        <v>75000</v>
      </c>
      <c r="D38" s="14">
        <f>7500*15</f>
        <v>112500</v>
      </c>
      <c r="E38" s="5" t="s">
        <v>129</v>
      </c>
    </row>
    <row r="39" spans="1:5" ht="21">
      <c r="A39" s="5" t="s">
        <v>135</v>
      </c>
      <c r="B39" s="14">
        <f>2000*5</f>
        <v>10000</v>
      </c>
      <c r="C39" s="14">
        <f>2000*10</f>
        <v>20000</v>
      </c>
      <c r="D39" s="14">
        <f>2000*15</f>
        <v>30000</v>
      </c>
      <c r="E39" s="5" t="s">
        <v>142</v>
      </c>
    </row>
    <row r="40" spans="1:5" ht="21">
      <c r="A40" s="23" t="s">
        <v>73</v>
      </c>
      <c r="B40" s="24"/>
      <c r="C40" s="24"/>
      <c r="D40" s="24"/>
      <c r="E40" s="24"/>
    </row>
    <row r="41" spans="1:5" ht="21">
      <c r="A41" s="21" t="s">
        <v>74</v>
      </c>
      <c r="B41" s="22">
        <f>5000*5</f>
        <v>25000</v>
      </c>
      <c r="C41" s="22">
        <f>5000*10</f>
        <v>50000</v>
      </c>
      <c r="D41" s="22">
        <f>5000*15</f>
        <v>75000</v>
      </c>
      <c r="E41" s="21" t="s">
        <v>151</v>
      </c>
    </row>
    <row r="42" spans="1:5" ht="21">
      <c r="A42" s="5" t="s">
        <v>136</v>
      </c>
      <c r="B42" s="22">
        <f>5000*5</f>
        <v>25000</v>
      </c>
      <c r="C42" s="22">
        <f>5000*10</f>
        <v>50000</v>
      </c>
      <c r="D42" s="22">
        <f>5000*15</f>
        <v>75000</v>
      </c>
      <c r="E42" s="21" t="s">
        <v>151</v>
      </c>
    </row>
    <row r="43" spans="1:5" ht="21">
      <c r="A43" s="5" t="s">
        <v>137</v>
      </c>
      <c r="B43" s="14">
        <v>10000</v>
      </c>
      <c r="C43" s="14">
        <v>10000</v>
      </c>
      <c r="D43" s="14">
        <v>10000</v>
      </c>
      <c r="E43" s="5"/>
    </row>
    <row r="44" spans="1:5" ht="21">
      <c r="A44" s="23" t="s">
        <v>78</v>
      </c>
      <c r="B44" s="29"/>
      <c r="C44" s="29"/>
      <c r="D44" s="29"/>
      <c r="E44" s="24"/>
    </row>
    <row r="45" spans="1:5" ht="21">
      <c r="A45" s="21" t="s">
        <v>138</v>
      </c>
      <c r="B45" s="30">
        <f>3000*5</f>
        <v>15000</v>
      </c>
      <c r="C45" s="30">
        <f>3000*10</f>
        <v>30000</v>
      </c>
      <c r="D45" s="30">
        <f>3000*15</f>
        <v>45000</v>
      </c>
      <c r="E45" s="21" t="s">
        <v>154</v>
      </c>
    </row>
    <row r="46" spans="1:5" ht="21">
      <c r="A46" s="18" t="s">
        <v>95</v>
      </c>
      <c r="B46" s="10">
        <f>SUM(B28,B32,B37:B40,B41:B45)</f>
        <v>153100</v>
      </c>
      <c r="C46" s="10">
        <f>SUM(C28,C32,C37:C40,C41:C45)</f>
        <v>296200</v>
      </c>
      <c r="D46" s="10">
        <f>SUM(D28,D32,D37:D40,D41:D45)</f>
        <v>439300</v>
      </c>
      <c r="E46" s="5"/>
    </row>
    <row r="47" spans="1:5" ht="21">
      <c r="A47" s="31"/>
      <c r="B47" s="32"/>
      <c r="C47" s="32"/>
      <c r="D47" s="32"/>
      <c r="E47" s="33"/>
    </row>
    <row r="48" spans="1:5" ht="21">
      <c r="A48" s="3" t="s">
        <v>33</v>
      </c>
      <c r="B48" s="3" t="s">
        <v>38</v>
      </c>
      <c r="C48" s="3" t="s">
        <v>39</v>
      </c>
      <c r="D48" s="3" t="s">
        <v>40</v>
      </c>
      <c r="E48" s="3" t="s">
        <v>36</v>
      </c>
    </row>
    <row r="49" spans="1:5" ht="21">
      <c r="A49" s="4" t="s">
        <v>139</v>
      </c>
      <c r="B49" s="6"/>
      <c r="C49" s="6"/>
      <c r="D49" s="6"/>
      <c r="E49" s="5"/>
    </row>
    <row r="50" spans="1:5" ht="21">
      <c r="A50" s="5" t="s">
        <v>140</v>
      </c>
      <c r="B50" s="7">
        <f>12000*5</f>
        <v>60000</v>
      </c>
      <c r="C50" s="7">
        <f>12000*10</f>
        <v>120000</v>
      </c>
      <c r="D50" s="7">
        <f>12000*15</f>
        <v>180000</v>
      </c>
      <c r="E50" s="5" t="s">
        <v>153</v>
      </c>
    </row>
    <row r="51" spans="1:5" ht="21">
      <c r="A51" s="5" t="s">
        <v>141</v>
      </c>
      <c r="B51" s="7">
        <f>5000*5</f>
        <v>25000</v>
      </c>
      <c r="C51" s="7">
        <f>5000*10</f>
        <v>50000</v>
      </c>
      <c r="D51" s="7">
        <f>5000*15</f>
        <v>75000</v>
      </c>
      <c r="E51" s="5" t="s">
        <v>151</v>
      </c>
    </row>
    <row r="52" spans="1:5" ht="21">
      <c r="A52" s="5" t="s">
        <v>149</v>
      </c>
      <c r="B52" s="7">
        <f>10000*5</f>
        <v>50000</v>
      </c>
      <c r="C52" s="7">
        <f>10000*10</f>
        <v>100000</v>
      </c>
      <c r="D52" s="7">
        <f>10000*15</f>
        <v>150000</v>
      </c>
      <c r="E52" s="5" t="s">
        <v>152</v>
      </c>
    </row>
    <row r="53" spans="1:5" ht="21">
      <c r="A53" s="5" t="s">
        <v>150</v>
      </c>
      <c r="B53" s="7">
        <f>12000*5</f>
        <v>60000</v>
      </c>
      <c r="C53" s="7">
        <f>12000*10</f>
        <v>120000</v>
      </c>
      <c r="D53" s="7">
        <f>12000*15</f>
        <v>180000</v>
      </c>
      <c r="E53" s="5" t="s">
        <v>153</v>
      </c>
    </row>
    <row r="54" spans="1:5" ht="21">
      <c r="A54" s="3" t="s">
        <v>101</v>
      </c>
      <c r="B54" s="10">
        <f>SUM(B50:B53,B46)</f>
        <v>348100</v>
      </c>
      <c r="C54" s="10">
        <f>SUM(C50:C53,C46)</f>
        <v>686200</v>
      </c>
      <c r="D54" s="10">
        <f>SUM(D50:D53,D46)</f>
        <v>1024300</v>
      </c>
      <c r="E54" s="5"/>
    </row>
    <row r="55" spans="1:5" ht="21">
      <c r="A55" s="3" t="s">
        <v>102</v>
      </c>
      <c r="B55" s="10">
        <f>B26-B54</f>
        <v>9475</v>
      </c>
      <c r="C55" s="10">
        <f>C26-C54</f>
        <v>28950</v>
      </c>
      <c r="D55" s="10">
        <f>D26-D54</f>
        <v>48425</v>
      </c>
      <c r="E55" s="5" t="s">
        <v>103</v>
      </c>
    </row>
    <row r="56" spans="1:5" ht="21">
      <c r="A56" s="3" t="s">
        <v>90</v>
      </c>
      <c r="B56" s="10">
        <f>B54/4/5</f>
        <v>17405</v>
      </c>
      <c r="C56" s="10">
        <f>C54/4/10</f>
        <v>17155</v>
      </c>
      <c r="D56" s="10">
        <f>D54/4/15</f>
        <v>17071.666666666668</v>
      </c>
      <c r="E56" s="5" t="s">
        <v>157</v>
      </c>
    </row>
  </sheetData>
  <mergeCells count="2">
    <mergeCell ref="A2:E2"/>
    <mergeCell ref="A3:E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F5" sqref="F5"/>
    </sheetView>
  </sheetViews>
  <sheetFormatPr defaultColWidth="9.140625" defaultRowHeight="12.75"/>
  <cols>
    <col min="1" max="1" width="32.7109375" style="1" customWidth="1"/>
    <col min="2" max="2" width="7.7109375" style="1" customWidth="1"/>
    <col min="3" max="3" width="3.8515625" style="1" customWidth="1"/>
    <col min="4" max="4" width="12.7109375" style="1" bestFit="1" customWidth="1"/>
    <col min="5" max="5" width="14.8515625" style="1" bestFit="1" customWidth="1"/>
    <col min="6" max="8" width="9.140625" style="1" customWidth="1"/>
    <col min="9" max="9" width="9.7109375" style="1" bestFit="1" customWidth="1"/>
    <col min="10" max="10" width="10.140625" style="1" bestFit="1" customWidth="1"/>
    <col min="11" max="11" width="10.8515625" style="1" bestFit="1" customWidth="1"/>
    <col min="12" max="16384" width="9.140625" style="1" customWidth="1"/>
  </cols>
  <sheetData>
    <row r="1" ht="29.25">
      <c r="A1" s="49" t="s">
        <v>168</v>
      </c>
    </row>
    <row r="2" spans="1:15" ht="21">
      <c r="A2" s="38" t="s">
        <v>159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  <c r="M2" s="2"/>
      <c r="N2" s="2"/>
      <c r="O2" s="2"/>
    </row>
    <row r="3" spans="1:11" ht="21">
      <c r="A3" s="3" t="s">
        <v>1</v>
      </c>
      <c r="B3" s="39" t="s">
        <v>3</v>
      </c>
      <c r="C3" s="39"/>
      <c r="D3" s="39" t="s">
        <v>2</v>
      </c>
      <c r="E3" s="39"/>
      <c r="F3" s="39"/>
      <c r="G3" s="39"/>
      <c r="H3" s="39"/>
      <c r="I3" s="39"/>
      <c r="J3" s="39"/>
      <c r="K3" s="39"/>
    </row>
    <row r="4" spans="1:11" ht="21">
      <c r="A4" s="4"/>
      <c r="B4" s="43" t="s">
        <v>4</v>
      </c>
      <c r="C4" s="44"/>
      <c r="D4" s="20" t="s">
        <v>130</v>
      </c>
      <c r="E4" s="20" t="s">
        <v>131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ht="21">
      <c r="A5" s="5" t="s">
        <v>14</v>
      </c>
      <c r="B5" s="41">
        <f>B19-SUM(B6:B7,B9:B15,B16:B18)</f>
        <v>40350</v>
      </c>
      <c r="C5" s="42"/>
      <c r="D5" s="11">
        <f>B5*0.1</f>
        <v>4035</v>
      </c>
      <c r="E5" s="6"/>
      <c r="F5" s="11">
        <f>B5*0.9</f>
        <v>36315</v>
      </c>
      <c r="G5" s="6"/>
      <c r="H5" s="6"/>
      <c r="I5" s="6"/>
      <c r="J5" s="6"/>
      <c r="K5" s="6"/>
    </row>
    <row r="6" spans="1:11" ht="21">
      <c r="A6" s="5" t="s">
        <v>15</v>
      </c>
      <c r="B6" s="41">
        <v>20000</v>
      </c>
      <c r="C6" s="42"/>
      <c r="D6" s="11">
        <f>B6*0.1</f>
        <v>2000</v>
      </c>
      <c r="E6" s="6"/>
      <c r="F6" s="11">
        <f>B6*0.9</f>
        <v>18000</v>
      </c>
      <c r="G6" s="6"/>
      <c r="H6" s="6"/>
      <c r="I6" s="6"/>
      <c r="J6" s="6"/>
      <c r="K6" s="6"/>
    </row>
    <row r="7" spans="1:11" ht="21">
      <c r="A7" s="5" t="s">
        <v>16</v>
      </c>
      <c r="B7" s="41">
        <v>1000</v>
      </c>
      <c r="C7" s="42"/>
      <c r="D7" s="11">
        <f>B7*0.1</f>
        <v>100</v>
      </c>
      <c r="E7" s="11">
        <f>0.4*(B7*0.9)</f>
        <v>360</v>
      </c>
      <c r="F7" s="11"/>
      <c r="G7" s="11"/>
      <c r="H7" s="11">
        <f>0.3*(B7*0.9)</f>
        <v>270</v>
      </c>
      <c r="I7" s="11">
        <f>0.3*(B7*0.9)</f>
        <v>270</v>
      </c>
      <c r="J7" s="6"/>
      <c r="K7" s="6"/>
    </row>
    <row r="8" spans="1:11" ht="21">
      <c r="A8" s="5" t="s">
        <v>160</v>
      </c>
      <c r="B8" s="45" t="s">
        <v>161</v>
      </c>
      <c r="C8" s="46"/>
      <c r="D8" s="11"/>
      <c r="E8" s="11"/>
      <c r="F8" s="11"/>
      <c r="G8" s="11"/>
      <c r="H8" s="11"/>
      <c r="I8" s="11"/>
      <c r="J8" s="6"/>
      <c r="K8" s="6"/>
    </row>
    <row r="9" spans="1:12" ht="21">
      <c r="A9" s="5" t="s">
        <v>120</v>
      </c>
      <c r="B9" s="41">
        <v>6000</v>
      </c>
      <c r="C9" s="42"/>
      <c r="D9" s="6"/>
      <c r="E9" s="11">
        <f>B9*0.5</f>
        <v>3000</v>
      </c>
      <c r="F9" s="11"/>
      <c r="G9" s="11">
        <f>B9*0.1667</f>
        <v>1000.1999999999999</v>
      </c>
      <c r="H9" s="11">
        <f>B9*0.1667</f>
        <v>1000.1999999999999</v>
      </c>
      <c r="I9" s="11">
        <f>B9*0.0833</f>
        <v>499.8</v>
      </c>
      <c r="J9" s="11">
        <f>B9*0.0833</f>
        <v>499.8</v>
      </c>
      <c r="K9" s="6"/>
      <c r="L9" s="13"/>
    </row>
    <row r="10" spans="1:11" ht="21">
      <c r="A10" s="5" t="s">
        <v>121</v>
      </c>
      <c r="B10" s="41">
        <v>4000</v>
      </c>
      <c r="C10" s="42"/>
      <c r="D10" s="6"/>
      <c r="E10" s="6"/>
      <c r="F10" s="11">
        <f>B10*0.7</f>
        <v>2800</v>
      </c>
      <c r="G10" s="11">
        <f>B10*0.3</f>
        <v>1200</v>
      </c>
      <c r="H10" s="6"/>
      <c r="I10" s="6"/>
      <c r="J10" s="6"/>
      <c r="K10" s="6"/>
    </row>
    <row r="11" spans="1:11" ht="21">
      <c r="A11" s="5" t="s">
        <v>122</v>
      </c>
      <c r="B11" s="41">
        <v>400</v>
      </c>
      <c r="C11" s="42"/>
      <c r="D11" s="6"/>
      <c r="E11" s="6"/>
      <c r="F11" s="6"/>
      <c r="G11" s="6"/>
      <c r="H11" s="6"/>
      <c r="I11" s="6"/>
      <c r="J11" s="6"/>
      <c r="K11" s="9">
        <f>B11</f>
        <v>400</v>
      </c>
    </row>
    <row r="12" spans="1:11" ht="21">
      <c r="A12" s="5" t="s">
        <v>123</v>
      </c>
      <c r="B12" s="41">
        <v>1200</v>
      </c>
      <c r="C12" s="42"/>
      <c r="D12" s="6"/>
      <c r="E12" s="6"/>
      <c r="F12" s="6"/>
      <c r="G12" s="6"/>
      <c r="H12" s="6"/>
      <c r="I12" s="6"/>
      <c r="J12" s="6"/>
      <c r="K12" s="9">
        <f>B12</f>
        <v>1200</v>
      </c>
    </row>
    <row r="13" spans="1:11" ht="21">
      <c r="A13" s="5" t="s">
        <v>124</v>
      </c>
      <c r="B13" s="41">
        <v>1200</v>
      </c>
      <c r="C13" s="42"/>
      <c r="D13" s="6"/>
      <c r="E13" s="6"/>
      <c r="F13" s="6"/>
      <c r="G13" s="6"/>
      <c r="H13" s="6"/>
      <c r="I13" s="6"/>
      <c r="J13" s="6"/>
      <c r="K13" s="9">
        <f>B13</f>
        <v>1200</v>
      </c>
    </row>
    <row r="14" spans="1:11" ht="21">
      <c r="A14" s="5" t="s">
        <v>125</v>
      </c>
      <c r="B14" s="41">
        <v>4000</v>
      </c>
      <c r="C14" s="42"/>
      <c r="D14" s="6"/>
      <c r="E14" s="6"/>
      <c r="F14" s="6"/>
      <c r="G14" s="6"/>
      <c r="H14" s="6"/>
      <c r="I14" s="6"/>
      <c r="J14" s="9">
        <f>B14</f>
        <v>4000</v>
      </c>
      <c r="K14" s="6"/>
    </row>
    <row r="15" spans="1:11" ht="21">
      <c r="A15" s="5" t="s">
        <v>126</v>
      </c>
      <c r="B15" s="41">
        <v>1600</v>
      </c>
      <c r="C15" s="42"/>
      <c r="D15" s="6"/>
      <c r="E15" s="9">
        <f>B15</f>
        <v>1600</v>
      </c>
      <c r="F15" s="6"/>
      <c r="G15" s="6"/>
      <c r="H15" s="6"/>
      <c r="I15" s="6"/>
      <c r="J15" s="6"/>
      <c r="K15" s="6"/>
    </row>
    <row r="16" spans="1:11" ht="21">
      <c r="A16" s="5" t="s">
        <v>127</v>
      </c>
      <c r="B16" s="41">
        <v>50</v>
      </c>
      <c r="C16" s="42"/>
      <c r="D16" s="11">
        <f>0.1*B16</f>
        <v>5</v>
      </c>
      <c r="E16" s="6"/>
      <c r="F16" s="6"/>
      <c r="G16" s="6"/>
      <c r="H16" s="6"/>
      <c r="I16" s="6"/>
      <c r="J16" s="6"/>
      <c r="K16" s="9">
        <f>0.9*B16</f>
        <v>45</v>
      </c>
    </row>
    <row r="17" spans="1:11" ht="21">
      <c r="A17" s="5" t="s">
        <v>166</v>
      </c>
      <c r="B17" s="41">
        <v>200</v>
      </c>
      <c r="C17" s="42"/>
      <c r="D17" s="6"/>
      <c r="E17" s="6"/>
      <c r="F17" s="6"/>
      <c r="G17" s="6"/>
      <c r="H17" s="6"/>
      <c r="I17" s="6"/>
      <c r="J17" s="6"/>
      <c r="K17" s="9">
        <f>B17</f>
        <v>200</v>
      </c>
    </row>
    <row r="18" spans="1:11" ht="21">
      <c r="A18" s="5" t="s">
        <v>128</v>
      </c>
      <c r="B18" s="41">
        <f>B19*0.2</f>
        <v>20000</v>
      </c>
      <c r="C18" s="42"/>
      <c r="D18" s="11">
        <f>0.1*B18</f>
        <v>2000</v>
      </c>
      <c r="E18" s="11">
        <f>0.1*(0.9*B18)</f>
        <v>1800</v>
      </c>
      <c r="F18" s="11">
        <f>0.8*(0.9*B18)</f>
        <v>14400</v>
      </c>
      <c r="G18" s="11"/>
      <c r="H18" s="11">
        <f>0.1*(0.9*B18)</f>
        <v>1800</v>
      </c>
      <c r="I18" s="6"/>
      <c r="J18" s="6"/>
      <c r="K18" s="6"/>
    </row>
    <row r="19" spans="1:12" ht="21">
      <c r="A19" s="3" t="s">
        <v>30</v>
      </c>
      <c r="B19" s="47">
        <v>100000</v>
      </c>
      <c r="C19" s="48"/>
      <c r="D19" s="12">
        <f aca="true" t="shared" si="0" ref="D19:K19">SUM(D5:D18)</f>
        <v>8140</v>
      </c>
      <c r="E19" s="12">
        <f t="shared" si="0"/>
        <v>6760</v>
      </c>
      <c r="F19" s="12">
        <f t="shared" si="0"/>
        <v>71515</v>
      </c>
      <c r="G19" s="12">
        <f t="shared" si="0"/>
        <v>2200.2</v>
      </c>
      <c r="H19" s="12">
        <f t="shared" si="0"/>
        <v>3070.2</v>
      </c>
      <c r="I19" s="12">
        <f t="shared" si="0"/>
        <v>769.8</v>
      </c>
      <c r="J19" s="12">
        <f t="shared" si="0"/>
        <v>4499.8</v>
      </c>
      <c r="K19" s="12">
        <f t="shared" si="0"/>
        <v>3045</v>
      </c>
      <c r="L19" s="13"/>
    </row>
    <row r="20" spans="1:12" ht="21">
      <c r="A20" s="37" t="s">
        <v>165</v>
      </c>
      <c r="B20" s="35"/>
      <c r="C20" s="36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21">
      <c r="A21" s="37" t="s">
        <v>162</v>
      </c>
      <c r="B21" s="41">
        <v>10000</v>
      </c>
      <c r="C21" s="42"/>
      <c r="D21" s="11">
        <v>1000</v>
      </c>
      <c r="E21" s="11"/>
      <c r="F21" s="11">
        <v>5400</v>
      </c>
      <c r="G21" s="11">
        <v>900</v>
      </c>
      <c r="H21" s="11">
        <v>900</v>
      </c>
      <c r="I21" s="11">
        <v>900</v>
      </c>
      <c r="J21" s="11">
        <v>900</v>
      </c>
      <c r="K21" s="11"/>
      <c r="L21" s="13"/>
    </row>
    <row r="22" spans="1:11" ht="21">
      <c r="A22" s="5" t="s">
        <v>164</v>
      </c>
      <c r="B22" s="41">
        <v>8000</v>
      </c>
      <c r="C22" s="42"/>
      <c r="D22" s="11">
        <v>800</v>
      </c>
      <c r="E22" s="6"/>
      <c r="F22" s="11">
        <v>4320</v>
      </c>
      <c r="G22" s="11">
        <v>720</v>
      </c>
      <c r="H22" s="11">
        <v>720</v>
      </c>
      <c r="I22" s="11">
        <v>720</v>
      </c>
      <c r="J22" s="11">
        <v>720</v>
      </c>
      <c r="K22" s="6"/>
    </row>
    <row r="23" ht="21">
      <c r="A23" s="1" t="s">
        <v>163</v>
      </c>
    </row>
  </sheetData>
  <mergeCells count="21">
    <mergeCell ref="B22:C22"/>
    <mergeCell ref="B16:C16"/>
    <mergeCell ref="B17:C17"/>
    <mergeCell ref="B18:C18"/>
    <mergeCell ref="B19:C19"/>
    <mergeCell ref="B21:C21"/>
    <mergeCell ref="B12:C12"/>
    <mergeCell ref="B13:C13"/>
    <mergeCell ref="B14:C14"/>
    <mergeCell ref="B15:C15"/>
    <mergeCell ref="B8:C8"/>
    <mergeCell ref="B9:C9"/>
    <mergeCell ref="B10:C10"/>
    <mergeCell ref="B11:C11"/>
    <mergeCell ref="B5:C5"/>
    <mergeCell ref="B6:C6"/>
    <mergeCell ref="B7:C7"/>
    <mergeCell ref="A2:K2"/>
    <mergeCell ref="B3:C3"/>
    <mergeCell ref="D3:K3"/>
    <mergeCell ref="B4:C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grad59</cp:lastModifiedBy>
  <cp:lastPrinted>2009-04-29T08:51:10Z</cp:lastPrinted>
  <dcterms:created xsi:type="dcterms:W3CDTF">2007-10-12T15:05:51Z</dcterms:created>
  <dcterms:modified xsi:type="dcterms:W3CDTF">2009-05-28T06:25:31Z</dcterms:modified>
  <cp:category/>
  <cp:version/>
  <cp:contentType/>
  <cp:contentStatus/>
</cp:coreProperties>
</file>